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TDSheet!$A$6:$G$6</definedName>
  </definedNames>
  <calcPr calcId="145621" refMode="R1C1"/>
</workbook>
</file>

<file path=xl/calcChain.xml><?xml version="1.0" encoding="utf-8"?>
<calcChain xmlns="http://schemas.openxmlformats.org/spreadsheetml/2006/main">
  <c r="G8034" i="1" l="1"/>
  <c r="G8033" i="1"/>
  <c r="G8032" i="1"/>
  <c r="G8031" i="1"/>
  <c r="G8030" i="1"/>
  <c r="G8029" i="1"/>
  <c r="G8028" i="1"/>
  <c r="G8027" i="1"/>
  <c r="G8026" i="1"/>
  <c r="G8025" i="1"/>
  <c r="G8024" i="1"/>
  <c r="G8022" i="1"/>
  <c r="G8020" i="1"/>
  <c r="G8019" i="1"/>
  <c r="G8018" i="1"/>
  <c r="G8017" i="1"/>
  <c r="G8016" i="1"/>
  <c r="G8015" i="1"/>
  <c r="G8001" i="1"/>
  <c r="G8000" i="1"/>
  <c r="G7999" i="1"/>
  <c r="G7998" i="1"/>
  <c r="G7959" i="1"/>
  <c r="G7958" i="1"/>
  <c r="G7957" i="1"/>
  <c r="G7956" i="1"/>
  <c r="G7955" i="1"/>
  <c r="G7950" i="1"/>
  <c r="G7949" i="1"/>
  <c r="G7948" i="1"/>
  <c r="G7947" i="1"/>
  <c r="G7946" i="1"/>
  <c r="G7944" i="1"/>
  <c r="G7943" i="1"/>
  <c r="G7942" i="1"/>
  <c r="G7940" i="1"/>
  <c r="G7939" i="1"/>
  <c r="G7937" i="1"/>
  <c r="G7936" i="1"/>
  <c r="G7935" i="1"/>
  <c r="G7933" i="1"/>
  <c r="G7932" i="1"/>
  <c r="G7930" i="1"/>
  <c r="G7929" i="1"/>
  <c r="G7928" i="1"/>
  <c r="G7927" i="1"/>
  <c r="G7926" i="1"/>
  <c r="G7925" i="1"/>
  <c r="G7857" i="1"/>
  <c r="G7848" i="1"/>
  <c r="G7847" i="1"/>
  <c r="G7846" i="1"/>
  <c r="G7844" i="1"/>
  <c r="G7835" i="1"/>
  <c r="G7834" i="1"/>
  <c r="G7832" i="1"/>
  <c r="G7826" i="1"/>
  <c r="G7825" i="1"/>
  <c r="G7823" i="1"/>
  <c r="G7822" i="1"/>
  <c r="G7820" i="1"/>
  <c r="G7818" i="1"/>
  <c r="G7816" i="1"/>
  <c r="G7815" i="1"/>
  <c r="G7814" i="1"/>
  <c r="G7813" i="1"/>
  <c r="G7812" i="1"/>
  <c r="G7811" i="1"/>
  <c r="G7810" i="1"/>
  <c r="G7809" i="1"/>
  <c r="G7808" i="1"/>
  <c r="G7806" i="1"/>
  <c r="G7804" i="1"/>
  <c r="G7803" i="1"/>
  <c r="G7802" i="1"/>
  <c r="G7800" i="1"/>
  <c r="G7799" i="1"/>
  <c r="G7798" i="1"/>
  <c r="G7797" i="1"/>
  <c r="G7795" i="1"/>
  <c r="G7792" i="1"/>
  <c r="G7791" i="1"/>
  <c r="G7790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1" i="1"/>
  <c r="G7770" i="1"/>
  <c r="G7769" i="1"/>
  <c r="G7768" i="1"/>
  <c r="G7767" i="1"/>
  <c r="G7764" i="1"/>
  <c r="G7763" i="1"/>
  <c r="G7762" i="1"/>
  <c r="G7761" i="1"/>
  <c r="G7759" i="1"/>
  <c r="G7758" i="1"/>
  <c r="G7756" i="1"/>
  <c r="G7755" i="1"/>
  <c r="G7752" i="1"/>
  <c r="G7750" i="1"/>
  <c r="G7749" i="1"/>
  <c r="G7748" i="1"/>
  <c r="G7747" i="1"/>
  <c r="G7746" i="1"/>
  <c r="G7741" i="1"/>
  <c r="G7735" i="1"/>
  <c r="G7734" i="1"/>
  <c r="G7731" i="1"/>
  <c r="G7730" i="1"/>
  <c r="G7729" i="1"/>
  <c r="G7727" i="1"/>
  <c r="G7726" i="1"/>
  <c r="G7725" i="1"/>
  <c r="G7724" i="1"/>
  <c r="G7723" i="1"/>
  <c r="G7720" i="1"/>
  <c r="G7719" i="1"/>
  <c r="G7718" i="1"/>
  <c r="G7717" i="1"/>
  <c r="G7716" i="1"/>
  <c r="G7715" i="1"/>
  <c r="G7714" i="1"/>
  <c r="G7713" i="1"/>
  <c r="G7712" i="1"/>
  <c r="G7711" i="1"/>
  <c r="G7710" i="1"/>
  <c r="G7707" i="1"/>
  <c r="G7706" i="1"/>
  <c r="G7685" i="1"/>
  <c r="G7684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69" i="1"/>
  <c r="G7668" i="1"/>
  <c r="G7667" i="1"/>
  <c r="G7666" i="1"/>
  <c r="G7665" i="1"/>
  <c r="G7664" i="1"/>
  <c r="G7663" i="1"/>
  <c r="G7662" i="1"/>
  <c r="G7661" i="1"/>
  <c r="G7659" i="1"/>
  <c r="G7657" i="1"/>
  <c r="G7656" i="1"/>
  <c r="G7636" i="1"/>
  <c r="G7635" i="1"/>
  <c r="G7634" i="1"/>
  <c r="G7633" i="1"/>
  <c r="G7632" i="1"/>
  <c r="G7631" i="1"/>
  <c r="G7630" i="1"/>
  <c r="G7629" i="1"/>
  <c r="G7628" i="1"/>
  <c r="G7624" i="1"/>
  <c r="G7622" i="1"/>
  <c r="G7621" i="1"/>
  <c r="G7619" i="1"/>
  <c r="G7613" i="1"/>
  <c r="G7612" i="1"/>
  <c r="G7611" i="1"/>
  <c r="G7609" i="1"/>
  <c r="G7608" i="1"/>
  <c r="G7607" i="1"/>
  <c r="G7606" i="1"/>
  <c r="G7605" i="1"/>
  <c r="G7604" i="1"/>
  <c r="G7603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71" i="1"/>
  <c r="G7570" i="1"/>
  <c r="G7569" i="1"/>
  <c r="G7568" i="1"/>
  <c r="G7567" i="1"/>
  <c r="G7566" i="1"/>
  <c r="G7564" i="1"/>
  <c r="G7563" i="1"/>
  <c r="G7562" i="1"/>
  <c r="G7561" i="1"/>
  <c r="G7560" i="1"/>
  <c r="G7558" i="1"/>
  <c r="G7557" i="1"/>
  <c r="G7549" i="1"/>
  <c r="G7522" i="1"/>
  <c r="G7521" i="1"/>
  <c r="G7520" i="1"/>
  <c r="G7519" i="1"/>
  <c r="G7518" i="1"/>
  <c r="G7517" i="1"/>
  <c r="G7510" i="1"/>
  <c r="G7509" i="1"/>
  <c r="G7507" i="1"/>
  <c r="G7505" i="1"/>
  <c r="G7504" i="1"/>
  <c r="G7503" i="1"/>
  <c r="G7502" i="1"/>
  <c r="G7499" i="1"/>
  <c r="G7498" i="1"/>
  <c r="G7497" i="1"/>
  <c r="G7496" i="1"/>
  <c r="G7494" i="1"/>
  <c r="G7493" i="1"/>
  <c r="G7459" i="1"/>
  <c r="G7458" i="1"/>
  <c r="G7457" i="1"/>
  <c r="G7456" i="1"/>
  <c r="G7455" i="1"/>
  <c r="G7453" i="1"/>
  <c r="G7451" i="1"/>
  <c r="G7450" i="1"/>
  <c r="G7447" i="1"/>
  <c r="G7446" i="1"/>
  <c r="G7445" i="1"/>
  <c r="G7444" i="1"/>
  <c r="G7443" i="1"/>
  <c r="G7439" i="1"/>
  <c r="G7437" i="1"/>
  <c r="G7435" i="1"/>
  <c r="G7433" i="1"/>
  <c r="G7430" i="1"/>
  <c r="G7429" i="1"/>
  <c r="G7425" i="1"/>
  <c r="G7422" i="1"/>
  <c r="G7420" i="1"/>
  <c r="G7415" i="1"/>
  <c r="G7412" i="1"/>
  <c r="G7411" i="1"/>
  <c r="G7410" i="1"/>
  <c r="G7408" i="1"/>
  <c r="G7402" i="1"/>
  <c r="G7401" i="1"/>
  <c r="G7400" i="1"/>
  <c r="G7396" i="1"/>
  <c r="G7395" i="1"/>
  <c r="G7394" i="1"/>
  <c r="G7393" i="1"/>
  <c r="G7392" i="1"/>
  <c r="G7391" i="1"/>
  <c r="G7385" i="1"/>
  <c r="G7383" i="1"/>
  <c r="G7382" i="1"/>
  <c r="G7381" i="1"/>
  <c r="G7380" i="1"/>
  <c r="G7377" i="1"/>
  <c r="G7376" i="1"/>
  <c r="G7375" i="1"/>
  <c r="G7374" i="1"/>
  <c r="G7373" i="1"/>
  <c r="G7369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1" i="1"/>
  <c r="G7340" i="1"/>
  <c r="G7339" i="1"/>
  <c r="G7337" i="1"/>
  <c r="G7336" i="1"/>
  <c r="G7335" i="1"/>
  <c r="G7334" i="1"/>
  <c r="G7333" i="1"/>
  <c r="G7332" i="1"/>
  <c r="G7331" i="1"/>
  <c r="G7330" i="1"/>
  <c r="G7329" i="1"/>
  <c r="G7327" i="1"/>
  <c r="G7326" i="1"/>
  <c r="G7325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73" i="1"/>
  <c r="G7272" i="1"/>
  <c r="G7268" i="1"/>
  <c r="G7267" i="1"/>
  <c r="G7266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4" i="1"/>
  <c r="G7213" i="1"/>
  <c r="G7211" i="1"/>
  <c r="G7210" i="1"/>
  <c r="G7209" i="1"/>
  <c r="G7208" i="1"/>
  <c r="G7207" i="1"/>
  <c r="G7206" i="1"/>
  <c r="G7205" i="1"/>
  <c r="G7204" i="1"/>
  <c r="G7202" i="1"/>
  <c r="G7201" i="1"/>
  <c r="G7199" i="1"/>
  <c r="G7198" i="1"/>
  <c r="G7197" i="1"/>
  <c r="G7196" i="1"/>
  <c r="G7195" i="1"/>
  <c r="G7194" i="1"/>
  <c r="G7193" i="1"/>
  <c r="G7191" i="1"/>
  <c r="G7190" i="1"/>
  <c r="G7189" i="1"/>
  <c r="G7187" i="1"/>
  <c r="G7186" i="1"/>
  <c r="G7185" i="1"/>
  <c r="G7184" i="1"/>
  <c r="G7183" i="1"/>
  <c r="G7182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2" i="1"/>
  <c r="G7161" i="1"/>
  <c r="G7160" i="1"/>
  <c r="G7159" i="1"/>
  <c r="G7158" i="1"/>
  <c r="G7152" i="1"/>
  <c r="G7149" i="1"/>
  <c r="G7146" i="1"/>
  <c r="G7145" i="1"/>
  <c r="G7141" i="1"/>
  <c r="G7139" i="1"/>
  <c r="G7134" i="1"/>
  <c r="G7130" i="1"/>
  <c r="G7127" i="1"/>
  <c r="G7124" i="1"/>
  <c r="G7121" i="1"/>
  <c r="G7120" i="1"/>
  <c r="G7116" i="1"/>
  <c r="G7113" i="1"/>
  <c r="G7108" i="1"/>
  <c r="G7107" i="1"/>
  <c r="G7101" i="1"/>
  <c r="G7098" i="1"/>
  <c r="G7095" i="1"/>
  <c r="G7094" i="1"/>
  <c r="G7089" i="1"/>
  <c r="G7086" i="1"/>
  <c r="G7083" i="1"/>
  <c r="G7080" i="1"/>
  <c r="G7079" i="1"/>
  <c r="G7077" i="1"/>
  <c r="G7076" i="1"/>
  <c r="G7075" i="1"/>
  <c r="G7074" i="1"/>
  <c r="G7073" i="1"/>
  <c r="G7066" i="1"/>
  <c r="G7063" i="1"/>
  <c r="G7062" i="1"/>
  <c r="G7059" i="1"/>
  <c r="G7058" i="1"/>
  <c r="G7051" i="1"/>
  <c r="G7048" i="1"/>
  <c r="G7045" i="1"/>
  <c r="G7042" i="1"/>
  <c r="G7041" i="1"/>
  <c r="G7039" i="1"/>
  <c r="G7038" i="1"/>
  <c r="G7037" i="1"/>
  <c r="G7036" i="1"/>
  <c r="G7035" i="1"/>
  <c r="G7030" i="1"/>
  <c r="G7029" i="1"/>
  <c r="G7028" i="1"/>
  <c r="G7025" i="1"/>
  <c r="G7021" i="1"/>
  <c r="G7017" i="1"/>
  <c r="G7013" i="1"/>
  <c r="G7008" i="1"/>
  <c r="G7005" i="1"/>
  <c r="G7004" i="1"/>
  <c r="G7001" i="1"/>
  <c r="G6996" i="1"/>
  <c r="G6991" i="1"/>
  <c r="G6984" i="1"/>
  <c r="G6981" i="1"/>
  <c r="G6978" i="1"/>
  <c r="G6977" i="1"/>
  <c r="G6973" i="1"/>
  <c r="G6970" i="1"/>
  <c r="G6967" i="1"/>
  <c r="G6964" i="1"/>
  <c r="G6963" i="1"/>
  <c r="G6958" i="1"/>
  <c r="G6955" i="1"/>
  <c r="G6952" i="1"/>
  <c r="G6949" i="1"/>
  <c r="G6948" i="1"/>
  <c r="G6942" i="1"/>
  <c r="G6939" i="1"/>
  <c r="G6936" i="1"/>
  <c r="G6935" i="1"/>
  <c r="G6930" i="1"/>
  <c r="G6927" i="1"/>
  <c r="G6924" i="1"/>
  <c r="G6921" i="1"/>
  <c r="G6920" i="1"/>
  <c r="G6916" i="1"/>
  <c r="G6913" i="1"/>
  <c r="G6910" i="1"/>
  <c r="G6907" i="1"/>
  <c r="G6906" i="1"/>
  <c r="G6902" i="1"/>
  <c r="G6899" i="1"/>
  <c r="G6896" i="1"/>
  <c r="G6893" i="1"/>
  <c r="G6892" i="1"/>
  <c r="G6886" i="1"/>
  <c r="G6881" i="1"/>
  <c r="G6880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59" i="1"/>
  <c r="G6858" i="1"/>
  <c r="G6857" i="1"/>
  <c r="G6856" i="1"/>
  <c r="G6855" i="1"/>
  <c r="G6854" i="1"/>
  <c r="G6853" i="1"/>
  <c r="G6852" i="1"/>
  <c r="G6851" i="1"/>
  <c r="G6850" i="1"/>
  <c r="G6849" i="1"/>
  <c r="G6847" i="1"/>
  <c r="G6846" i="1"/>
  <c r="G6845" i="1"/>
  <c r="G6844" i="1"/>
  <c r="G6843" i="1"/>
  <c r="G6842" i="1"/>
  <c r="G6841" i="1"/>
  <c r="G6840" i="1"/>
  <c r="G6838" i="1"/>
  <c r="G6837" i="1"/>
  <c r="G6836" i="1"/>
  <c r="G6835" i="1"/>
  <c r="G6834" i="1"/>
  <c r="G6833" i="1"/>
  <c r="G6832" i="1"/>
  <c r="G6829" i="1"/>
  <c r="G6828" i="1"/>
  <c r="G6827" i="1"/>
  <c r="G6826" i="1"/>
  <c r="G6824" i="1"/>
  <c r="G6823" i="1"/>
  <c r="G6822" i="1"/>
  <c r="G6821" i="1"/>
  <c r="G6820" i="1"/>
  <c r="G6819" i="1"/>
  <c r="G6818" i="1"/>
  <c r="G6817" i="1"/>
  <c r="G6815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5" i="1"/>
  <c r="G6794" i="1"/>
  <c r="G6792" i="1"/>
  <c r="G6791" i="1"/>
  <c r="G6789" i="1"/>
  <c r="G6788" i="1"/>
  <c r="G6787" i="1"/>
  <c r="G6786" i="1"/>
  <c r="G6785" i="1"/>
  <c r="G6784" i="1"/>
  <c r="G6783" i="1"/>
  <c r="G6781" i="1"/>
  <c r="G6778" i="1"/>
  <c r="G6777" i="1"/>
  <c r="G6776" i="1"/>
  <c r="G6775" i="1"/>
  <c r="G6773" i="1"/>
  <c r="G6772" i="1"/>
  <c r="G6771" i="1"/>
  <c r="G6770" i="1"/>
  <c r="G6768" i="1"/>
  <c r="G6767" i="1"/>
  <c r="G6766" i="1"/>
  <c r="G6765" i="1"/>
  <c r="G6764" i="1"/>
  <c r="G6763" i="1"/>
  <c r="G6762" i="1"/>
  <c r="G6761" i="1"/>
  <c r="G6760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2" i="1"/>
  <c r="G6691" i="1"/>
  <c r="G6690" i="1"/>
  <c r="G6689" i="1"/>
  <c r="G6687" i="1"/>
  <c r="G6686" i="1"/>
  <c r="G6684" i="1"/>
  <c r="G6683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8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5" i="1"/>
  <c r="G6524" i="1"/>
  <c r="G6523" i="1"/>
  <c r="G6522" i="1"/>
  <c r="G6521" i="1"/>
  <c r="G6520" i="1"/>
  <c r="G6519" i="1"/>
  <c r="G6518" i="1"/>
  <c r="G6516" i="1"/>
  <c r="G6515" i="1"/>
  <c r="G6514" i="1"/>
  <c r="G6513" i="1"/>
  <c r="G6512" i="1"/>
  <c r="G6511" i="1"/>
  <c r="G6510" i="1"/>
  <c r="G6509" i="1"/>
  <c r="G6507" i="1"/>
  <c r="G6506" i="1"/>
  <c r="G6505" i="1"/>
  <c r="G6504" i="1"/>
  <c r="G6502" i="1"/>
  <c r="G6501" i="1"/>
  <c r="G6500" i="1"/>
  <c r="G6499" i="1"/>
  <c r="G6498" i="1"/>
  <c r="G6497" i="1"/>
  <c r="G6496" i="1"/>
  <c r="G6494" i="1"/>
  <c r="G6493" i="1"/>
  <c r="G6492" i="1"/>
  <c r="G6491" i="1"/>
  <c r="G6490" i="1"/>
  <c r="G6489" i="1"/>
  <c r="G6488" i="1"/>
  <c r="G6487" i="1"/>
  <c r="G6485" i="1"/>
  <c r="G6484" i="1"/>
  <c r="G6483" i="1"/>
  <c r="G6482" i="1"/>
  <c r="G6481" i="1"/>
  <c r="G6480" i="1"/>
  <c r="G6478" i="1"/>
  <c r="G6477" i="1"/>
  <c r="G6476" i="1"/>
  <c r="G6475" i="1"/>
  <c r="G6474" i="1"/>
  <c r="G6473" i="1"/>
  <c r="G6472" i="1"/>
  <c r="G6471" i="1"/>
  <c r="G6470" i="1"/>
  <c r="G6469" i="1"/>
  <c r="G6468" i="1"/>
  <c r="G6466" i="1"/>
  <c r="G6465" i="1"/>
  <c r="G6464" i="1"/>
  <c r="G6463" i="1"/>
  <c r="G6462" i="1"/>
  <c r="G6461" i="1"/>
  <c r="G6460" i="1"/>
  <c r="G6459" i="1"/>
  <c r="G6458" i="1"/>
  <c r="G6457" i="1"/>
  <c r="G6456" i="1"/>
  <c r="G6454" i="1"/>
  <c r="G6453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2" i="1"/>
  <c r="G6431" i="1"/>
  <c r="G6430" i="1"/>
  <c r="G6429" i="1"/>
  <c r="G6428" i="1"/>
  <c r="G6427" i="1"/>
  <c r="G6426" i="1"/>
  <c r="G6425" i="1"/>
  <c r="G6423" i="1"/>
  <c r="G6422" i="1"/>
  <c r="G6421" i="1"/>
  <c r="G6420" i="1"/>
  <c r="G6419" i="1"/>
  <c r="G6418" i="1"/>
  <c r="G6417" i="1"/>
  <c r="G6414" i="1"/>
  <c r="G6413" i="1"/>
  <c r="G6412" i="1"/>
  <c r="G6410" i="1"/>
  <c r="G6407" i="1"/>
  <c r="G6406" i="1"/>
  <c r="G6405" i="1"/>
  <c r="G6404" i="1"/>
  <c r="G6403" i="1"/>
  <c r="G6402" i="1"/>
  <c r="G6401" i="1"/>
  <c r="G6399" i="1"/>
  <c r="G6398" i="1"/>
  <c r="G6397" i="1"/>
  <c r="G6396" i="1"/>
  <c r="G6395" i="1"/>
  <c r="G6394" i="1"/>
  <c r="G6393" i="1"/>
  <c r="G6392" i="1"/>
  <c r="G6391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2" i="1"/>
  <c r="G6360" i="1"/>
  <c r="G6359" i="1"/>
  <c r="G6358" i="1"/>
  <c r="G6357" i="1"/>
  <c r="G6355" i="1"/>
  <c r="G6354" i="1"/>
  <c r="G6353" i="1"/>
  <c r="G6352" i="1"/>
  <c r="G6350" i="1"/>
  <c r="G6349" i="1"/>
  <c r="G6348" i="1"/>
  <c r="G6347" i="1"/>
  <c r="G6346" i="1"/>
  <c r="G6345" i="1"/>
  <c r="G6344" i="1"/>
  <c r="G6343" i="1"/>
  <c r="G6342" i="1"/>
  <c r="G6341" i="1"/>
  <c r="G6340" i="1"/>
  <c r="G6338" i="1"/>
  <c r="G6337" i="1"/>
  <c r="G6334" i="1"/>
  <c r="G6333" i="1"/>
  <c r="G6332" i="1"/>
  <c r="G6331" i="1"/>
  <c r="G6330" i="1"/>
  <c r="G6329" i="1"/>
  <c r="G6327" i="1"/>
  <c r="G6326" i="1"/>
  <c r="G6325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6" i="1"/>
  <c r="G6305" i="1"/>
  <c r="G6304" i="1"/>
  <c r="G6302" i="1"/>
  <c r="G6301" i="1"/>
  <c r="G6300" i="1"/>
  <c r="G6299" i="1"/>
  <c r="G6298" i="1"/>
  <c r="G6296" i="1"/>
  <c r="G6295" i="1"/>
  <c r="G6294" i="1"/>
  <c r="G6293" i="1"/>
  <c r="G6292" i="1"/>
  <c r="G6291" i="1"/>
  <c r="G6289" i="1"/>
  <c r="G6288" i="1"/>
  <c r="G6287" i="1"/>
  <c r="G6286" i="1"/>
  <c r="G6285" i="1"/>
  <c r="G6284" i="1"/>
  <c r="G6283" i="1"/>
  <c r="G6282" i="1"/>
  <c r="G6281" i="1"/>
  <c r="G6280" i="1"/>
  <c r="G6278" i="1"/>
  <c r="G6277" i="1"/>
  <c r="G6276" i="1"/>
  <c r="G6275" i="1"/>
  <c r="G6274" i="1"/>
  <c r="G6273" i="1"/>
  <c r="G6272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8" i="1"/>
  <c r="G6247" i="1"/>
  <c r="G6246" i="1"/>
  <c r="G6245" i="1"/>
  <c r="G6244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18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0" i="1"/>
  <c r="G6139" i="1"/>
  <c r="G6138" i="1"/>
  <c r="G6137" i="1"/>
  <c r="G6136" i="1"/>
  <c r="G6134" i="1"/>
  <c r="G6132" i="1"/>
  <c r="G6130" i="1"/>
  <c r="G6127" i="1"/>
  <c r="G6126" i="1"/>
  <c r="G6125" i="1"/>
  <c r="G6124" i="1"/>
  <c r="G6123" i="1"/>
  <c r="G6122" i="1"/>
  <c r="G6118" i="1"/>
  <c r="G6116" i="1"/>
  <c r="G6115" i="1"/>
  <c r="G6114" i="1"/>
  <c r="G6113" i="1"/>
  <c r="G6112" i="1"/>
  <c r="G6111" i="1"/>
  <c r="G6110" i="1"/>
  <c r="G6109" i="1"/>
  <c r="G6108" i="1"/>
  <c r="G6107" i="1"/>
  <c r="G6106" i="1"/>
  <c r="G6103" i="1"/>
  <c r="G6102" i="1"/>
  <c r="G6101" i="1"/>
  <c r="G6100" i="1"/>
  <c r="G6099" i="1"/>
  <c r="G6098" i="1"/>
  <c r="G6097" i="1"/>
  <c r="G6096" i="1"/>
  <c r="G6095" i="1"/>
  <c r="G6094" i="1"/>
  <c r="G6089" i="1"/>
  <c r="G6087" i="1"/>
  <c r="G6086" i="1"/>
  <c r="G6084" i="1"/>
  <c r="G6083" i="1"/>
  <c r="G6082" i="1"/>
  <c r="G6081" i="1"/>
  <c r="G6079" i="1"/>
  <c r="G6078" i="1"/>
  <c r="G6077" i="1"/>
  <c r="G6076" i="1"/>
  <c r="G6074" i="1"/>
  <c r="G6073" i="1"/>
  <c r="G6072" i="1"/>
  <c r="G6071" i="1"/>
  <c r="G6069" i="1"/>
  <c r="G6068" i="1"/>
  <c r="G6067" i="1"/>
  <c r="G6066" i="1"/>
  <c r="G6065" i="1"/>
  <c r="G6064" i="1"/>
  <c r="G6061" i="1"/>
  <c r="G6060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6" i="1"/>
  <c r="G6025" i="1"/>
  <c r="G6024" i="1"/>
  <c r="G6022" i="1"/>
  <c r="G6021" i="1"/>
  <c r="G6020" i="1"/>
  <c r="G6015" i="1"/>
  <c r="G6013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3" i="1"/>
  <c r="G5982" i="1"/>
  <c r="G5980" i="1"/>
  <c r="G5979" i="1"/>
  <c r="G5978" i="1"/>
  <c r="G5977" i="1"/>
  <c r="G5976" i="1"/>
  <c r="G5975" i="1"/>
  <c r="G5974" i="1"/>
  <c r="G5972" i="1"/>
  <c r="G5971" i="1"/>
  <c r="G5970" i="1"/>
  <c r="G5969" i="1"/>
  <c r="G5967" i="1"/>
  <c r="G5966" i="1"/>
  <c r="G5965" i="1"/>
  <c r="G5964" i="1"/>
  <c r="G5963" i="1"/>
  <c r="G5962" i="1"/>
  <c r="G5961" i="1"/>
  <c r="G5960" i="1"/>
  <c r="G5959" i="1"/>
  <c r="G5958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3" i="1"/>
  <c r="G5932" i="1"/>
  <c r="G5929" i="1"/>
  <c r="G5928" i="1"/>
  <c r="G5927" i="1"/>
  <c r="G5926" i="1"/>
  <c r="G5925" i="1"/>
  <c r="G5924" i="1"/>
  <c r="G5923" i="1"/>
  <c r="G5922" i="1"/>
  <c r="G5921" i="1"/>
  <c r="G5920" i="1"/>
  <c r="G5918" i="1"/>
  <c r="G5917" i="1"/>
  <c r="G5916" i="1"/>
  <c r="G5915" i="1"/>
  <c r="G5914" i="1"/>
  <c r="G5913" i="1"/>
  <c r="G5912" i="1"/>
  <c r="G5911" i="1"/>
  <c r="G5910" i="1"/>
  <c r="G5908" i="1"/>
  <c r="G5907" i="1"/>
  <c r="G5906" i="1"/>
  <c r="G5905" i="1"/>
  <c r="G5903" i="1"/>
  <c r="G5901" i="1"/>
  <c r="G5900" i="1"/>
  <c r="G5899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74" i="1"/>
  <c r="G5871" i="1"/>
  <c r="G5868" i="1"/>
  <c r="G5867" i="1"/>
  <c r="G5866" i="1"/>
  <c r="G5865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6" i="1"/>
  <c r="G5845" i="1"/>
  <c r="G5844" i="1"/>
  <c r="G5843" i="1"/>
  <c r="G5842" i="1"/>
  <c r="G5841" i="1"/>
  <c r="G5840" i="1"/>
  <c r="G5839" i="1"/>
  <c r="G5838" i="1"/>
  <c r="G5836" i="1"/>
  <c r="G5835" i="1"/>
  <c r="G5834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783" i="1"/>
  <c r="G5781" i="1"/>
  <c r="G5779" i="1"/>
  <c r="G5777" i="1"/>
  <c r="G5776" i="1"/>
  <c r="G5774" i="1"/>
  <c r="G5772" i="1"/>
  <c r="G5771" i="1"/>
  <c r="G5770" i="1"/>
  <c r="G5769" i="1"/>
  <c r="G5768" i="1"/>
  <c r="G5767" i="1"/>
  <c r="G5766" i="1"/>
  <c r="G5764" i="1"/>
  <c r="G5763" i="1"/>
  <c r="G5760" i="1"/>
  <c r="G5757" i="1"/>
  <c r="G5741" i="1"/>
  <c r="G5728" i="1"/>
  <c r="G5727" i="1"/>
  <c r="G5726" i="1"/>
  <c r="G5725" i="1"/>
  <c r="G5724" i="1"/>
  <c r="G5723" i="1"/>
  <c r="G5722" i="1"/>
  <c r="G5711" i="1"/>
  <c r="G5682" i="1"/>
  <c r="G5654" i="1"/>
  <c r="G5631" i="1"/>
  <c r="G5630" i="1"/>
  <c r="G5619" i="1"/>
  <c r="G5618" i="1"/>
  <c r="G5617" i="1"/>
  <c r="G5616" i="1"/>
  <c r="G5615" i="1"/>
  <c r="G5614" i="1"/>
  <c r="G5583" i="1"/>
  <c r="G5582" i="1"/>
  <c r="G5580" i="1"/>
  <c r="G5556" i="1"/>
  <c r="G5545" i="1"/>
  <c r="G5538" i="1"/>
  <c r="G5534" i="1"/>
  <c r="G5484" i="1"/>
  <c r="G5477" i="1"/>
  <c r="G5473" i="1"/>
  <c r="G5453" i="1"/>
  <c r="G5451" i="1"/>
  <c r="G5445" i="1"/>
  <c r="G5444" i="1"/>
  <c r="G5443" i="1"/>
  <c r="G5442" i="1"/>
  <c r="G5440" i="1"/>
  <c r="G5439" i="1"/>
  <c r="G5400" i="1"/>
  <c r="G5399" i="1"/>
  <c r="G5331" i="1"/>
  <c r="G5314" i="1"/>
  <c r="G5313" i="1"/>
  <c r="G5312" i="1"/>
  <c r="G5297" i="1"/>
  <c r="G5291" i="1"/>
  <c r="G5288" i="1"/>
  <c r="G5287" i="1"/>
  <c r="G5286" i="1"/>
  <c r="G5285" i="1"/>
  <c r="G5272" i="1"/>
  <c r="G5270" i="1"/>
  <c r="G5269" i="1"/>
  <c r="G5268" i="1"/>
  <c r="G5267" i="1"/>
  <c r="G5261" i="1"/>
  <c r="G5260" i="1"/>
  <c r="G5259" i="1"/>
  <c r="G5253" i="1"/>
  <c r="G5250" i="1"/>
  <c r="G5247" i="1"/>
  <c r="G5245" i="1"/>
  <c r="G5244" i="1"/>
  <c r="G5243" i="1"/>
  <c r="G5242" i="1"/>
  <c r="G5241" i="1"/>
  <c r="G5130" i="1"/>
  <c r="G5128" i="1"/>
  <c r="G5086" i="1"/>
  <c r="G5084" i="1"/>
  <c r="G5059" i="1"/>
  <c r="G5026" i="1"/>
  <c r="G5020" i="1"/>
  <c r="G5019" i="1"/>
  <c r="G5002" i="1"/>
  <c r="G5001" i="1"/>
  <c r="G4979" i="1"/>
  <c r="G4976" i="1"/>
  <c r="G4960" i="1"/>
  <c r="G4958" i="1"/>
  <c r="G4957" i="1"/>
  <c r="G4956" i="1"/>
  <c r="G4955" i="1"/>
  <c r="G4949" i="1"/>
  <c r="G4947" i="1"/>
  <c r="G4941" i="1"/>
  <c r="G4940" i="1"/>
  <c r="G4939" i="1"/>
  <c r="G4938" i="1"/>
  <c r="G4935" i="1"/>
  <c r="G4933" i="1"/>
  <c r="G4932" i="1"/>
  <c r="G4931" i="1"/>
  <c r="G4930" i="1"/>
  <c r="G4929" i="1"/>
  <c r="G4914" i="1"/>
  <c r="G4913" i="1"/>
  <c r="G4891" i="1"/>
  <c r="G4888" i="1"/>
  <c r="G4887" i="1"/>
  <c r="G4872" i="1"/>
  <c r="G4871" i="1"/>
  <c r="G4870" i="1"/>
  <c r="G4869" i="1"/>
  <c r="G4868" i="1"/>
  <c r="G4867" i="1"/>
  <c r="G4861" i="1"/>
  <c r="G4860" i="1"/>
  <c r="G4859" i="1"/>
  <c r="G4854" i="1"/>
  <c r="G4853" i="1"/>
  <c r="G4851" i="1"/>
  <c r="G4850" i="1"/>
  <c r="G4847" i="1"/>
  <c r="G4844" i="1"/>
  <c r="G4843" i="1"/>
  <c r="G4842" i="1"/>
  <c r="G4841" i="1"/>
  <c r="G4828" i="1"/>
  <c r="G4809" i="1"/>
  <c r="G4806" i="1"/>
  <c r="G4802" i="1"/>
  <c r="G4797" i="1"/>
  <c r="G4779" i="1"/>
  <c r="G4756" i="1"/>
  <c r="G4755" i="1"/>
  <c r="G4754" i="1"/>
  <c r="G4753" i="1"/>
  <c r="G4743" i="1"/>
  <c r="G4740" i="1"/>
  <c r="G4739" i="1"/>
  <c r="G4738" i="1"/>
  <c r="G4737" i="1"/>
  <c r="G4736" i="1"/>
  <c r="G4735" i="1"/>
  <c r="G4731" i="1"/>
  <c r="G4730" i="1"/>
  <c r="G4729" i="1"/>
  <c r="G4728" i="1"/>
  <c r="G4727" i="1"/>
  <c r="G4725" i="1"/>
  <c r="G4722" i="1"/>
  <c r="G4721" i="1"/>
  <c r="G4720" i="1"/>
  <c r="G4719" i="1"/>
  <c r="G4718" i="1"/>
  <c r="G4715" i="1"/>
  <c r="G4714" i="1"/>
  <c r="G4713" i="1"/>
  <c r="G4712" i="1"/>
  <c r="G4711" i="1"/>
  <c r="G4710" i="1"/>
  <c r="G4709" i="1"/>
  <c r="G4698" i="1"/>
  <c r="G4697" i="1"/>
  <c r="G4696" i="1"/>
  <c r="G4695" i="1"/>
  <c r="G4693" i="1"/>
  <c r="G4692" i="1"/>
  <c r="G4691" i="1"/>
  <c r="G4690" i="1"/>
  <c r="G4687" i="1"/>
  <c r="G4686" i="1"/>
  <c r="G4683" i="1"/>
  <c r="G4682" i="1"/>
  <c r="G4680" i="1"/>
  <c r="G4677" i="1"/>
  <c r="G4674" i="1"/>
  <c r="G4673" i="1"/>
  <c r="G4670" i="1"/>
  <c r="G4668" i="1"/>
  <c r="G4665" i="1"/>
  <c r="G4664" i="1"/>
  <c r="G4662" i="1"/>
  <c r="G4661" i="1"/>
  <c r="G4655" i="1"/>
  <c r="G4653" i="1"/>
  <c r="G4650" i="1"/>
  <c r="G4649" i="1"/>
  <c r="G4647" i="1"/>
  <c r="G4646" i="1"/>
  <c r="G4644" i="1"/>
  <c r="G4641" i="1"/>
  <c r="G4640" i="1"/>
  <c r="G4638" i="1"/>
  <c r="G4637" i="1"/>
  <c r="G4636" i="1"/>
  <c r="G4635" i="1"/>
  <c r="G4632" i="1"/>
  <c r="G4631" i="1"/>
  <c r="G4628" i="1"/>
  <c r="G4624" i="1"/>
  <c r="G4621" i="1"/>
  <c r="G4608" i="1"/>
  <c r="G4606" i="1"/>
  <c r="G4580" i="1"/>
  <c r="G4579" i="1"/>
  <c r="G4578" i="1"/>
  <c r="G4577" i="1"/>
  <c r="G4576" i="1"/>
  <c r="G4575" i="1"/>
  <c r="G4574" i="1"/>
  <c r="G4572" i="1"/>
  <c r="G4571" i="1"/>
  <c r="G4570" i="1"/>
  <c r="G4569" i="1"/>
  <c r="G4568" i="1"/>
  <c r="G4567" i="1"/>
  <c r="G4566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0" i="1"/>
  <c r="G4529" i="1"/>
  <c r="G4528" i="1"/>
  <c r="G4526" i="1"/>
  <c r="G4525" i="1"/>
  <c r="G4524" i="1"/>
  <c r="G4523" i="1"/>
  <c r="G4520" i="1"/>
  <c r="G4519" i="1"/>
  <c r="G4518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1" i="1"/>
  <c r="G4380" i="1"/>
  <c r="G4379" i="1"/>
  <c r="G4378" i="1"/>
  <c r="G4377" i="1"/>
  <c r="G4374" i="1"/>
  <c r="G4373" i="1"/>
  <c r="G4372" i="1"/>
  <c r="G4371" i="1"/>
  <c r="G4369" i="1"/>
  <c r="G4368" i="1"/>
  <c r="G4366" i="1"/>
  <c r="G4365" i="1"/>
  <c r="G4364" i="1"/>
  <c r="G4362" i="1"/>
  <c r="G4361" i="1"/>
  <c r="G4359" i="1"/>
  <c r="G4358" i="1"/>
  <c r="G4357" i="1"/>
  <c r="G4354" i="1"/>
  <c r="G4353" i="1"/>
  <c r="G4352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1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2" i="1"/>
  <c r="G4281" i="1"/>
  <c r="G4280" i="1"/>
  <c r="G4279" i="1"/>
  <c r="G4278" i="1"/>
  <c r="G4277" i="1"/>
  <c r="G4276" i="1"/>
  <c r="G4274" i="1"/>
  <c r="G4273" i="1"/>
  <c r="G4272" i="1"/>
  <c r="G4271" i="1"/>
  <c r="G4270" i="1"/>
  <c r="G4269" i="1"/>
  <c r="G4268" i="1"/>
  <c r="G4266" i="1"/>
  <c r="G4265" i="1"/>
  <c r="G4264" i="1"/>
  <c r="G4263" i="1"/>
  <c r="G4262" i="1"/>
  <c r="G4261" i="1"/>
  <c r="G4260" i="1"/>
  <c r="G4259" i="1"/>
  <c r="G4258" i="1"/>
  <c r="G4256" i="1"/>
  <c r="G4255" i="1"/>
  <c r="G4254" i="1"/>
  <c r="G4253" i="1"/>
  <c r="G4252" i="1"/>
  <c r="G4251" i="1"/>
  <c r="G4250" i="1"/>
  <c r="G4249" i="1"/>
  <c r="G4248" i="1"/>
  <c r="G4243" i="1"/>
  <c r="G4242" i="1"/>
  <c r="G4241" i="1"/>
  <c r="G4238" i="1"/>
  <c r="G4237" i="1"/>
  <c r="G4236" i="1"/>
  <c r="G4234" i="1"/>
  <c r="G4233" i="1"/>
  <c r="G4232" i="1"/>
  <c r="G4231" i="1"/>
  <c r="G4230" i="1"/>
  <c r="G4229" i="1"/>
  <c r="G4227" i="1"/>
  <c r="G4225" i="1"/>
  <c r="G4224" i="1"/>
  <c r="G4223" i="1"/>
  <c r="G4222" i="1"/>
  <c r="G4221" i="1"/>
  <c r="G4220" i="1"/>
  <c r="G4218" i="1"/>
  <c r="G4217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2" i="1"/>
  <c r="G4201" i="1"/>
  <c r="G4199" i="1"/>
  <c r="G4198" i="1"/>
  <c r="G4197" i="1"/>
  <c r="G4196" i="1"/>
  <c r="G4195" i="1"/>
  <c r="G4194" i="1"/>
  <c r="G4192" i="1"/>
  <c r="G4191" i="1"/>
  <c r="G4190" i="1"/>
  <c r="G4189" i="1"/>
  <c r="G4188" i="1"/>
  <c r="G4187" i="1"/>
  <c r="G4185" i="1"/>
  <c r="G4184" i="1"/>
  <c r="G4183" i="1"/>
  <c r="G4182" i="1"/>
  <c r="G4181" i="1"/>
  <c r="G4180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2" i="1"/>
  <c r="G4161" i="1"/>
  <c r="G4160" i="1"/>
  <c r="G4159" i="1"/>
  <c r="G4158" i="1"/>
  <c r="G4157" i="1"/>
  <c r="G4155" i="1"/>
  <c r="G4154" i="1"/>
  <c r="G4153" i="1"/>
  <c r="G4152" i="1"/>
  <c r="G4151" i="1"/>
  <c r="G4150" i="1"/>
  <c r="G4148" i="1"/>
  <c r="G4147" i="1"/>
  <c r="G4146" i="1"/>
  <c r="G4145" i="1"/>
  <c r="G4143" i="1"/>
  <c r="G4142" i="1"/>
  <c r="G4141" i="1"/>
  <c r="G4140" i="1"/>
  <c r="G4139" i="1"/>
  <c r="G4138" i="1"/>
  <c r="G4136" i="1"/>
  <c r="G4135" i="1"/>
  <c r="G4134" i="1"/>
  <c r="G4133" i="1"/>
  <c r="G4132" i="1"/>
  <c r="G4131" i="1"/>
  <c r="G4129" i="1"/>
  <c r="G4128" i="1"/>
  <c r="G4127" i="1"/>
  <c r="G4126" i="1"/>
  <c r="G4124" i="1"/>
  <c r="G4123" i="1"/>
  <c r="G4122" i="1"/>
  <c r="G4120" i="1"/>
  <c r="G4119" i="1"/>
  <c r="G4118" i="1"/>
  <c r="G4117" i="1"/>
  <c r="G4116" i="1"/>
  <c r="G4115" i="1"/>
  <c r="G4113" i="1"/>
  <c r="G4112" i="1"/>
  <c r="G4110" i="1"/>
  <c r="G4109" i="1"/>
  <c r="G4108" i="1"/>
  <c r="G4107" i="1"/>
  <c r="G4106" i="1"/>
  <c r="G4105" i="1"/>
  <c r="G4102" i="1"/>
  <c r="G4101" i="1"/>
  <c r="G4100" i="1"/>
  <c r="G4098" i="1"/>
  <c r="G4097" i="1"/>
  <c r="G4096" i="1"/>
  <c r="G4095" i="1"/>
  <c r="G4094" i="1"/>
  <c r="G4093" i="1"/>
  <c r="G4091" i="1"/>
  <c r="G4090" i="1"/>
  <c r="G4089" i="1"/>
  <c r="G4088" i="1"/>
  <c r="G4087" i="1"/>
  <c r="G4086" i="1"/>
  <c r="G4084" i="1"/>
  <c r="G4083" i="1"/>
  <c r="G4082" i="1"/>
  <c r="G4081" i="1"/>
  <c r="G4080" i="1"/>
  <c r="G4079" i="1"/>
  <c r="G4078" i="1"/>
  <c r="G4077" i="1"/>
  <c r="G4075" i="1"/>
  <c r="G4074" i="1"/>
  <c r="G4073" i="1"/>
  <c r="G4072" i="1"/>
  <c r="G4071" i="1"/>
  <c r="G4070" i="1"/>
  <c r="G4069" i="1"/>
  <c r="G4067" i="1"/>
  <c r="G4066" i="1"/>
  <c r="G4065" i="1"/>
  <c r="G4064" i="1"/>
  <c r="G4063" i="1"/>
  <c r="G4062" i="1"/>
  <c r="G4061" i="1"/>
  <c r="G4060" i="1"/>
  <c r="G4059" i="1"/>
  <c r="G4057" i="1"/>
  <c r="G4056" i="1"/>
  <c r="G4055" i="1"/>
  <c r="G4054" i="1"/>
  <c r="G4053" i="1"/>
  <c r="G4052" i="1"/>
  <c r="G4050" i="1"/>
  <c r="G4049" i="1"/>
  <c r="G4048" i="1"/>
  <c r="G4047" i="1"/>
  <c r="G4046" i="1"/>
  <c r="G4044" i="1"/>
  <c r="G4043" i="1"/>
  <c r="G4042" i="1"/>
  <c r="G4041" i="1"/>
  <c r="G4040" i="1"/>
  <c r="G4039" i="1"/>
  <c r="G4038" i="1"/>
  <c r="G4037" i="1"/>
  <c r="G4036" i="1"/>
  <c r="G4035" i="1"/>
  <c r="G4034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7" i="1"/>
  <c r="G3986" i="1"/>
  <c r="G3984" i="1"/>
  <c r="G3982" i="1"/>
  <c r="G3981" i="1"/>
  <c r="G3980" i="1"/>
  <c r="G3979" i="1"/>
  <c r="G3978" i="1"/>
  <c r="G3976" i="1"/>
  <c r="G3975" i="1"/>
  <c r="G3974" i="1"/>
  <c r="G3973" i="1"/>
  <c r="G3971" i="1"/>
  <c r="G3970" i="1"/>
  <c r="G3969" i="1"/>
  <c r="G3968" i="1"/>
  <c r="G3966" i="1"/>
  <c r="G3965" i="1"/>
  <c r="G3963" i="1"/>
  <c r="G3962" i="1"/>
  <c r="G3961" i="1"/>
  <c r="G3960" i="1"/>
  <c r="G3959" i="1"/>
  <c r="G3958" i="1"/>
  <c r="G3957" i="1"/>
  <c r="G3953" i="1"/>
  <c r="G3952" i="1"/>
  <c r="G3950" i="1"/>
  <c r="G3949" i="1"/>
  <c r="G3948" i="1"/>
  <c r="G3947" i="1"/>
  <c r="G3946" i="1"/>
  <c r="G3945" i="1"/>
  <c r="G3944" i="1"/>
  <c r="G3942" i="1"/>
  <c r="G3940" i="1"/>
  <c r="G3939" i="1"/>
  <c r="G3937" i="1"/>
  <c r="G3936" i="1"/>
  <c r="G3934" i="1"/>
  <c r="G3933" i="1"/>
  <c r="G3932" i="1"/>
  <c r="G3929" i="1"/>
  <c r="G3927" i="1"/>
  <c r="G3925" i="1"/>
  <c r="G3924" i="1"/>
  <c r="G3923" i="1"/>
  <c r="G3921" i="1"/>
  <c r="G3919" i="1"/>
  <c r="G3917" i="1"/>
  <c r="G3916" i="1"/>
  <c r="G3915" i="1"/>
  <c r="G3914" i="1"/>
  <c r="G3913" i="1"/>
  <c r="G3912" i="1"/>
  <c r="G3911" i="1"/>
  <c r="G3910" i="1"/>
  <c r="G3909" i="1"/>
  <c r="G3906" i="1"/>
  <c r="G3905" i="1"/>
  <c r="G3904" i="1"/>
  <c r="G3903" i="1"/>
  <c r="G3902" i="1"/>
  <c r="G3901" i="1"/>
  <c r="G3900" i="1"/>
  <c r="G3899" i="1"/>
  <c r="G3898" i="1"/>
  <c r="G3897" i="1"/>
  <c r="G3875" i="1"/>
  <c r="G3874" i="1"/>
  <c r="G3872" i="1"/>
  <c r="G3869" i="1"/>
  <c r="G3868" i="1"/>
  <c r="G3867" i="1"/>
  <c r="G3864" i="1"/>
  <c r="G3863" i="1"/>
  <c r="G3862" i="1"/>
  <c r="G3861" i="1"/>
  <c r="G3860" i="1"/>
  <c r="G3859" i="1"/>
  <c r="G3858" i="1"/>
  <c r="G3857" i="1"/>
  <c r="G3855" i="1"/>
  <c r="G3854" i="1"/>
  <c r="G3853" i="1"/>
  <c r="G3852" i="1"/>
  <c r="G3851" i="1"/>
  <c r="G3850" i="1"/>
  <c r="G3849" i="1"/>
  <c r="G3848" i="1"/>
  <c r="G3847" i="1"/>
  <c r="G3846" i="1"/>
  <c r="G3845" i="1"/>
  <c r="G3843" i="1"/>
  <c r="G3842" i="1"/>
  <c r="G3841" i="1"/>
  <c r="G3840" i="1"/>
  <c r="G3836" i="1"/>
  <c r="G3835" i="1"/>
  <c r="G3834" i="1"/>
  <c r="G3833" i="1"/>
  <c r="G3832" i="1"/>
  <c r="G3831" i="1"/>
  <c r="G3830" i="1"/>
  <c r="G3829" i="1"/>
  <c r="G3827" i="1"/>
  <c r="G3826" i="1"/>
  <c r="G3825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7" i="1"/>
  <c r="G3746" i="1"/>
  <c r="G3745" i="1"/>
  <c r="G3728" i="1"/>
  <c r="G3727" i="1"/>
  <c r="G3723" i="1"/>
  <c r="G3722" i="1"/>
  <c r="G3720" i="1"/>
  <c r="G3719" i="1"/>
  <c r="G3717" i="1"/>
  <c r="G3715" i="1"/>
  <c r="G3714" i="1"/>
  <c r="G3711" i="1"/>
  <c r="G3709" i="1"/>
  <c r="G3708" i="1"/>
  <c r="G3707" i="1"/>
  <c r="G3703" i="1"/>
  <c r="G3702" i="1"/>
  <c r="G3701" i="1"/>
  <c r="G3700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2" i="1"/>
  <c r="G3681" i="1"/>
  <c r="G3680" i="1"/>
  <c r="G3679" i="1"/>
  <c r="G3678" i="1"/>
  <c r="G3677" i="1"/>
  <c r="G3676" i="1"/>
  <c r="G3675" i="1"/>
  <c r="G3674" i="1"/>
  <c r="G3672" i="1"/>
  <c r="G3671" i="1"/>
  <c r="G3668" i="1"/>
  <c r="G3667" i="1"/>
  <c r="G3665" i="1"/>
  <c r="G3664" i="1"/>
  <c r="G3663" i="1"/>
  <c r="G3662" i="1"/>
  <c r="G3661" i="1"/>
  <c r="G3659" i="1"/>
  <c r="G3658" i="1"/>
  <c r="G3657" i="1"/>
  <c r="G3655" i="1"/>
  <c r="G3654" i="1"/>
  <c r="G3653" i="1"/>
  <c r="G3652" i="1"/>
  <c r="G3650" i="1"/>
  <c r="G3647" i="1"/>
  <c r="G3646" i="1"/>
  <c r="G3645" i="1"/>
  <c r="G3643" i="1"/>
  <c r="G3642" i="1"/>
  <c r="G3641" i="1"/>
  <c r="G3640" i="1"/>
  <c r="G3637" i="1"/>
  <c r="G3636" i="1"/>
  <c r="G3635" i="1"/>
  <c r="G3634" i="1"/>
  <c r="G3633" i="1"/>
  <c r="G3632" i="1"/>
  <c r="G3631" i="1"/>
  <c r="G3629" i="1"/>
  <c r="G3628" i="1"/>
  <c r="G3627" i="1"/>
  <c r="G3626" i="1"/>
  <c r="G3625" i="1"/>
  <c r="G3624" i="1"/>
  <c r="G3623" i="1"/>
  <c r="G3622" i="1"/>
  <c r="G3621" i="1"/>
  <c r="G3620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2" i="1"/>
  <c r="G3601" i="1"/>
  <c r="G3600" i="1"/>
  <c r="G3598" i="1"/>
  <c r="G3597" i="1"/>
  <c r="G3596" i="1"/>
  <c r="G3594" i="1"/>
  <c r="G3592" i="1"/>
  <c r="G3591" i="1"/>
  <c r="G3589" i="1"/>
  <c r="G3588" i="1"/>
  <c r="G3587" i="1"/>
  <c r="G3586" i="1"/>
  <c r="G3585" i="1"/>
  <c r="G3584" i="1"/>
  <c r="G3583" i="1"/>
  <c r="G3581" i="1"/>
  <c r="G3580" i="1"/>
  <c r="G3578" i="1"/>
  <c r="G3577" i="1"/>
  <c r="G3576" i="1"/>
  <c r="G3574" i="1"/>
  <c r="G3573" i="1"/>
  <c r="G3572" i="1"/>
  <c r="G3571" i="1"/>
  <c r="G3570" i="1"/>
  <c r="G3569" i="1"/>
  <c r="G3567" i="1"/>
  <c r="G3566" i="1"/>
  <c r="G3565" i="1"/>
  <c r="G3564" i="1"/>
  <c r="G3561" i="1"/>
  <c r="G3560" i="1"/>
  <c r="G3559" i="1"/>
  <c r="G3557" i="1"/>
  <c r="G3556" i="1"/>
  <c r="G3554" i="1"/>
  <c r="G3552" i="1"/>
  <c r="G3551" i="1"/>
  <c r="G3549" i="1"/>
  <c r="G3548" i="1"/>
  <c r="G3546" i="1"/>
  <c r="G3545" i="1"/>
  <c r="G3544" i="1"/>
  <c r="G3543" i="1"/>
  <c r="G3542" i="1"/>
  <c r="G3541" i="1"/>
  <c r="G3540" i="1"/>
  <c r="G3539" i="1"/>
  <c r="G3538" i="1"/>
  <c r="G3536" i="1"/>
  <c r="G3535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19" i="1"/>
  <c r="G3518" i="1"/>
  <c r="G3516" i="1"/>
  <c r="G3514" i="1"/>
  <c r="G3513" i="1"/>
  <c r="G3511" i="1"/>
  <c r="G3510" i="1"/>
  <c r="G3509" i="1"/>
  <c r="G3508" i="1"/>
  <c r="G3506" i="1"/>
  <c r="G3503" i="1"/>
  <c r="G3502" i="1"/>
  <c r="G3501" i="1"/>
  <c r="G3500" i="1"/>
  <c r="G3498" i="1"/>
  <c r="G3497" i="1"/>
  <c r="G3495" i="1"/>
  <c r="G3494" i="1"/>
  <c r="G3493" i="1"/>
  <c r="G3491" i="1"/>
  <c r="G3490" i="1"/>
  <c r="G3488" i="1"/>
  <c r="G3487" i="1"/>
  <c r="G3486" i="1"/>
  <c r="G3485" i="1"/>
  <c r="G3484" i="1"/>
  <c r="G3482" i="1"/>
  <c r="G3481" i="1"/>
  <c r="G3480" i="1"/>
  <c r="G3474" i="1"/>
  <c r="G3473" i="1"/>
  <c r="G3472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1" i="1"/>
  <c r="G3440" i="1"/>
  <c r="G3439" i="1"/>
  <c r="G3438" i="1"/>
  <c r="G3437" i="1"/>
  <c r="G3436" i="1"/>
  <c r="G3434" i="1"/>
  <c r="G3433" i="1"/>
  <c r="G3432" i="1"/>
  <c r="G3431" i="1"/>
  <c r="G3430" i="1"/>
  <c r="G3429" i="1"/>
  <c r="G3428" i="1"/>
  <c r="G3427" i="1"/>
  <c r="G3426" i="1"/>
  <c r="G3425" i="1"/>
  <c r="G3422" i="1"/>
  <c r="G3421" i="1"/>
  <c r="G3419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6" i="1"/>
  <c r="G3395" i="1"/>
  <c r="G3394" i="1"/>
  <c r="G3393" i="1"/>
  <c r="G3392" i="1"/>
  <c r="G3391" i="1"/>
  <c r="G3390" i="1"/>
  <c r="G3389" i="1"/>
  <c r="G3388" i="1"/>
  <c r="G3387" i="1"/>
  <c r="G3385" i="1"/>
  <c r="G3384" i="1"/>
  <c r="G3383" i="1"/>
  <c r="G3382" i="1"/>
  <c r="G3381" i="1"/>
  <c r="G3380" i="1"/>
  <c r="G3379" i="1"/>
  <c r="G3378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8" i="1"/>
  <c r="G3346" i="1"/>
  <c r="G3344" i="1"/>
  <c r="G3342" i="1"/>
  <c r="G3340" i="1"/>
  <c r="G3338" i="1"/>
  <c r="G3336" i="1"/>
  <c r="G3334" i="1"/>
  <c r="G3332" i="1"/>
  <c r="G3330" i="1"/>
  <c r="G3327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62" i="1"/>
  <c r="G3261" i="1"/>
  <c r="G3260" i="1"/>
  <c r="G3259" i="1"/>
  <c r="G3258" i="1"/>
  <c r="G3257" i="1"/>
  <c r="G3256" i="1"/>
  <c r="G3255" i="1"/>
  <c r="G3254" i="1"/>
  <c r="G3253" i="1"/>
  <c r="G3251" i="1"/>
  <c r="G3250" i="1"/>
  <c r="G3249" i="1"/>
  <c r="G3248" i="1"/>
  <c r="G3247" i="1"/>
  <c r="G3246" i="1"/>
  <c r="G3245" i="1"/>
  <c r="G3244" i="1"/>
  <c r="G3243" i="1"/>
  <c r="G3242" i="1"/>
  <c r="G3240" i="1"/>
  <c r="G3239" i="1"/>
  <c r="G3238" i="1"/>
  <c r="G3237" i="1"/>
  <c r="G3236" i="1"/>
  <c r="G3235" i="1"/>
  <c r="G3233" i="1"/>
  <c r="G3232" i="1"/>
  <c r="G3231" i="1"/>
  <c r="G3230" i="1"/>
  <c r="G3229" i="1"/>
  <c r="G3228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68" i="1"/>
  <c r="G2967" i="1"/>
  <c r="G2966" i="1"/>
  <c r="G2965" i="1"/>
  <c r="G2964" i="1"/>
  <c r="G2963" i="1"/>
  <c r="G2962" i="1"/>
  <c r="G2961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3" i="1"/>
  <c r="G2942" i="1"/>
  <c r="G2941" i="1"/>
  <c r="G2940" i="1"/>
  <c r="G2939" i="1"/>
  <c r="G2938" i="1"/>
  <c r="G2937" i="1"/>
  <c r="G2936" i="1"/>
  <c r="G2935" i="1"/>
  <c r="G2934" i="1"/>
  <c r="G2933" i="1"/>
  <c r="G2931" i="1"/>
  <c r="G2930" i="1"/>
  <c r="G2929" i="1"/>
  <c r="G2928" i="1"/>
  <c r="G2927" i="1"/>
  <c r="G2926" i="1"/>
  <c r="G2925" i="1"/>
  <c r="G2924" i="1"/>
  <c r="G2923" i="1"/>
  <c r="G2922" i="1"/>
  <c r="G2921" i="1"/>
  <c r="G2919" i="1"/>
  <c r="G2918" i="1"/>
  <c r="G2917" i="1"/>
  <c r="G2916" i="1"/>
  <c r="G2915" i="1"/>
  <c r="G2914" i="1"/>
  <c r="G2913" i="1"/>
  <c r="G2912" i="1"/>
  <c r="G2911" i="1"/>
  <c r="G2910" i="1"/>
  <c r="G2909" i="1"/>
  <c r="G2907" i="1"/>
  <c r="G2906" i="1"/>
  <c r="G2905" i="1"/>
  <c r="G2904" i="1"/>
  <c r="G2903" i="1"/>
  <c r="G2902" i="1"/>
  <c r="G2901" i="1"/>
  <c r="G2900" i="1"/>
  <c r="G2899" i="1"/>
  <c r="G2898" i="1"/>
  <c r="G2897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49" i="1"/>
  <c r="G2848" i="1"/>
  <c r="G2847" i="1"/>
  <c r="G2844" i="1"/>
  <c r="G2843" i="1"/>
  <c r="G2841" i="1"/>
  <c r="G2839" i="1"/>
  <c r="G2838" i="1"/>
  <c r="G2837" i="1"/>
  <c r="G2836" i="1"/>
  <c r="G2835" i="1"/>
  <c r="G2834" i="1"/>
  <c r="G2833" i="1"/>
  <c r="G2832" i="1"/>
  <c r="G2831" i="1"/>
  <c r="G2801" i="1"/>
  <c r="G2800" i="1"/>
  <c r="G2799" i="1"/>
  <c r="G2798" i="1"/>
  <c r="G2797" i="1"/>
  <c r="G2796" i="1"/>
  <c r="G2795" i="1"/>
  <c r="G2794" i="1"/>
  <c r="G2793" i="1"/>
  <c r="G2792" i="1"/>
  <c r="G2791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1" i="1"/>
  <c r="G2770" i="1"/>
  <c r="G2769" i="1"/>
  <c r="G2768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8" i="1"/>
  <c r="G2727" i="1"/>
  <c r="G2726" i="1"/>
  <c r="G2724" i="1"/>
  <c r="G2722" i="1"/>
  <c r="G2721" i="1"/>
  <c r="G2720" i="1"/>
  <c r="G2719" i="1"/>
  <c r="G2717" i="1"/>
  <c r="G2716" i="1"/>
  <c r="G2715" i="1"/>
  <c r="G2714" i="1"/>
  <c r="G2713" i="1"/>
  <c r="G2712" i="1"/>
  <c r="G2710" i="1"/>
  <c r="G2709" i="1"/>
  <c r="G2707" i="1"/>
  <c r="G2706" i="1"/>
  <c r="G2704" i="1"/>
  <c r="G2703" i="1"/>
  <c r="G2701" i="1"/>
  <c r="G2700" i="1"/>
  <c r="G2699" i="1"/>
  <c r="G2698" i="1"/>
  <c r="G2697" i="1"/>
  <c r="G2696" i="1"/>
  <c r="G2694" i="1"/>
  <c r="G2693" i="1"/>
  <c r="G2691" i="1"/>
  <c r="G2690" i="1"/>
  <c r="G2689" i="1"/>
  <c r="G2688" i="1"/>
  <c r="G2687" i="1"/>
  <c r="G2686" i="1"/>
  <c r="G2684" i="1"/>
  <c r="G2683" i="1"/>
  <c r="G2682" i="1"/>
  <c r="G2681" i="1"/>
  <c r="G2680" i="1"/>
  <c r="G2679" i="1"/>
  <c r="G2677" i="1"/>
  <c r="G2676" i="1"/>
  <c r="G2675" i="1"/>
  <c r="G2674" i="1"/>
  <c r="G2673" i="1"/>
  <c r="G2672" i="1"/>
  <c r="G2670" i="1"/>
  <c r="G2669" i="1"/>
  <c r="G2668" i="1"/>
  <c r="G2667" i="1"/>
  <c r="G2666" i="1"/>
  <c r="G2665" i="1"/>
  <c r="G2663" i="1"/>
  <c r="G2662" i="1"/>
  <c r="G2661" i="1"/>
  <c r="G2660" i="1"/>
  <c r="G2659" i="1"/>
  <c r="G2658" i="1"/>
  <c r="G2656" i="1"/>
  <c r="G2655" i="1"/>
  <c r="G2653" i="1"/>
  <c r="G2652" i="1"/>
  <c r="G2651" i="1"/>
  <c r="G2650" i="1"/>
  <c r="G2649" i="1"/>
  <c r="G2648" i="1"/>
  <c r="G2646" i="1"/>
  <c r="G2645" i="1"/>
  <c r="G2644" i="1"/>
  <c r="G2643" i="1"/>
  <c r="G2642" i="1"/>
  <c r="G2641" i="1"/>
  <c r="G2639" i="1"/>
  <c r="G2638" i="1"/>
  <c r="G2636" i="1"/>
  <c r="G2635" i="1"/>
  <c r="G2633" i="1"/>
  <c r="G2632" i="1"/>
  <c r="G2631" i="1"/>
  <c r="G2630" i="1"/>
  <c r="G2629" i="1"/>
  <c r="G2628" i="1"/>
  <c r="G2625" i="1"/>
  <c r="G2624" i="1"/>
  <c r="G2623" i="1"/>
  <c r="G2622" i="1"/>
  <c r="G2621" i="1"/>
  <c r="G2620" i="1"/>
  <c r="G2619" i="1"/>
  <c r="G2618" i="1"/>
  <c r="G2617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1" i="1"/>
  <c r="G2520" i="1"/>
  <c r="G2519" i="1"/>
  <c r="G2518" i="1"/>
  <c r="G2517" i="1"/>
  <c r="G2516" i="1"/>
  <c r="G2515" i="1"/>
  <c r="G2514" i="1"/>
  <c r="G2512" i="1"/>
  <c r="G2511" i="1"/>
  <c r="G2510" i="1"/>
  <c r="G2509" i="1"/>
  <c r="G2508" i="1"/>
  <c r="G2507" i="1"/>
  <c r="G2506" i="1"/>
  <c r="G2505" i="1"/>
  <c r="G2502" i="1"/>
  <c r="G2501" i="1"/>
  <c r="G2500" i="1"/>
  <c r="G2498" i="1"/>
  <c r="G2497" i="1"/>
  <c r="G2496" i="1"/>
  <c r="G2495" i="1"/>
  <c r="G2494" i="1"/>
  <c r="G2493" i="1"/>
  <c r="G2492" i="1"/>
  <c r="G2491" i="1"/>
  <c r="G2490" i="1"/>
  <c r="G2488" i="1"/>
  <c r="G2487" i="1"/>
  <c r="G2486" i="1"/>
  <c r="G2485" i="1"/>
  <c r="G2484" i="1"/>
  <c r="G2483" i="1"/>
  <c r="G2480" i="1"/>
  <c r="G2479" i="1"/>
  <c r="G2478" i="1"/>
  <c r="G2477" i="1"/>
  <c r="G2476" i="1"/>
  <c r="G2475" i="1"/>
  <c r="G2473" i="1"/>
  <c r="G2472" i="1"/>
  <c r="G2470" i="1"/>
  <c r="G2469" i="1"/>
  <c r="G2468" i="1"/>
  <c r="G2467" i="1"/>
  <c r="G2466" i="1"/>
  <c r="G2465" i="1"/>
  <c r="G2463" i="1"/>
  <c r="G2462" i="1"/>
  <c r="G2461" i="1"/>
  <c r="G2460" i="1"/>
  <c r="G2459" i="1"/>
  <c r="G2458" i="1"/>
  <c r="G2457" i="1"/>
  <c r="G2456" i="1"/>
  <c r="G2455" i="1"/>
  <c r="G2454" i="1"/>
  <c r="G2452" i="1"/>
  <c r="G2451" i="1"/>
  <c r="G2450" i="1"/>
  <c r="G2449" i="1"/>
  <c r="G2448" i="1"/>
  <c r="G2447" i="1"/>
  <c r="G2445" i="1"/>
  <c r="G2444" i="1"/>
  <c r="G2443" i="1"/>
  <c r="G2442" i="1"/>
  <c r="G2441" i="1"/>
  <c r="G2440" i="1"/>
  <c r="G2439" i="1"/>
  <c r="G2438" i="1"/>
  <c r="G2437" i="1"/>
  <c r="G2436" i="1"/>
  <c r="G2434" i="1"/>
  <c r="G2433" i="1"/>
  <c r="G2432" i="1"/>
  <c r="G2431" i="1"/>
  <c r="G2430" i="1"/>
  <c r="G2429" i="1"/>
  <c r="G2428" i="1"/>
  <c r="G2427" i="1"/>
  <c r="G2425" i="1"/>
  <c r="G2424" i="1"/>
  <c r="G2423" i="1"/>
  <c r="G2422" i="1"/>
  <c r="G2421" i="1"/>
  <c r="G2420" i="1"/>
  <c r="G2418" i="1"/>
  <c r="G2417" i="1"/>
  <c r="G2416" i="1"/>
  <c r="G2415" i="1"/>
  <c r="G2414" i="1"/>
  <c r="G2413" i="1"/>
  <c r="G2412" i="1"/>
  <c r="G2411" i="1"/>
  <c r="G2410" i="1"/>
  <c r="G2409" i="1"/>
  <c r="G2406" i="1"/>
  <c r="G2405" i="1"/>
  <c r="G2404" i="1"/>
  <c r="G2403" i="1"/>
  <c r="G2402" i="1"/>
  <c r="G2401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5" i="1"/>
  <c r="G2364" i="1"/>
  <c r="G2363" i="1"/>
  <c r="G2362" i="1"/>
  <c r="G2361" i="1"/>
  <c r="G2360" i="1"/>
  <c r="G2359" i="1"/>
  <c r="G2358" i="1"/>
  <c r="G2357" i="1"/>
  <c r="G2356" i="1"/>
  <c r="G2354" i="1"/>
  <c r="G2353" i="1"/>
  <c r="G2352" i="1"/>
  <c r="G2351" i="1"/>
  <c r="G2350" i="1"/>
  <c r="G2348" i="1"/>
  <c r="G2347" i="1"/>
  <c r="G2346" i="1"/>
  <c r="G2345" i="1"/>
  <c r="G2343" i="1"/>
  <c r="G2342" i="1"/>
  <c r="G2341" i="1"/>
  <c r="G2340" i="1"/>
  <c r="G2339" i="1"/>
  <c r="G2337" i="1"/>
  <c r="G2336" i="1"/>
  <c r="G2335" i="1"/>
  <c r="G2334" i="1"/>
  <c r="G2333" i="1"/>
  <c r="G2331" i="1"/>
  <c r="G2330" i="1"/>
  <c r="G2329" i="1"/>
  <c r="G2328" i="1"/>
  <c r="G2327" i="1"/>
  <c r="G2325" i="1"/>
  <c r="G2324" i="1"/>
  <c r="G2323" i="1"/>
  <c r="G2322" i="1"/>
  <c r="G2321" i="1"/>
  <c r="G2320" i="1"/>
  <c r="G2318" i="1"/>
  <c r="G2317" i="1"/>
  <c r="G2316" i="1"/>
  <c r="G2315" i="1"/>
  <c r="G2314" i="1"/>
  <c r="G2313" i="1"/>
  <c r="G2311" i="1"/>
  <c r="G2310" i="1"/>
  <c r="G2309" i="1"/>
  <c r="G2308" i="1"/>
  <c r="G2307" i="1"/>
  <c r="G2306" i="1"/>
  <c r="G2305" i="1"/>
  <c r="G2303" i="1"/>
  <c r="G2302" i="1"/>
  <c r="G2301" i="1"/>
  <c r="G2300" i="1"/>
  <c r="G2299" i="1"/>
  <c r="G2298" i="1"/>
  <c r="G2297" i="1"/>
  <c r="G2296" i="1"/>
  <c r="G2294" i="1"/>
  <c r="G2293" i="1"/>
  <c r="G2292" i="1"/>
  <c r="G2291" i="1"/>
  <c r="G2290" i="1"/>
  <c r="G2289" i="1"/>
  <c r="G2288" i="1"/>
  <c r="G2287" i="1"/>
  <c r="G2285" i="1"/>
  <c r="G2284" i="1"/>
  <c r="G2283" i="1"/>
  <c r="G2282" i="1"/>
  <c r="G2281" i="1"/>
  <c r="G2280" i="1"/>
  <c r="G2279" i="1"/>
  <c r="G2277" i="1"/>
  <c r="G2276" i="1"/>
  <c r="G2275" i="1"/>
  <c r="G2274" i="1"/>
  <c r="G2273" i="1"/>
  <c r="G2272" i="1"/>
  <c r="G2271" i="1"/>
  <c r="G2270" i="1"/>
  <c r="G2268" i="1"/>
  <c r="G2267" i="1"/>
  <c r="G2266" i="1"/>
  <c r="G2265" i="1"/>
  <c r="G2264" i="1"/>
  <c r="G2263" i="1"/>
  <c r="G2262" i="1"/>
  <c r="G2261" i="1"/>
  <c r="G2259" i="1"/>
  <c r="G2258" i="1"/>
  <c r="G2257" i="1"/>
  <c r="G2256" i="1"/>
  <c r="G2255" i="1"/>
  <c r="G2254" i="1"/>
  <c r="G2253" i="1"/>
  <c r="G2252" i="1"/>
  <c r="G2250" i="1"/>
  <c r="G2249" i="1"/>
  <c r="G2248" i="1"/>
  <c r="G2247" i="1"/>
  <c r="G2246" i="1"/>
  <c r="G2245" i="1"/>
  <c r="G2244" i="1"/>
  <c r="G2242" i="1"/>
  <c r="G2241" i="1"/>
  <c r="G2240" i="1"/>
  <c r="G2239" i="1"/>
  <c r="G2238" i="1"/>
  <c r="G2237" i="1"/>
  <c r="G2236" i="1"/>
  <c r="G2234" i="1"/>
  <c r="G2233" i="1"/>
  <c r="G2232" i="1"/>
  <c r="G2231" i="1"/>
  <c r="G2230" i="1"/>
  <c r="G2229" i="1"/>
  <c r="G2228" i="1"/>
  <c r="G2227" i="1"/>
  <c r="G2225" i="1"/>
  <c r="G2224" i="1"/>
  <c r="G2223" i="1"/>
  <c r="G2222" i="1"/>
  <c r="G2221" i="1"/>
  <c r="G2220" i="1"/>
  <c r="G2219" i="1"/>
  <c r="G2217" i="1"/>
  <c r="G2216" i="1"/>
  <c r="G2215" i="1"/>
  <c r="G2214" i="1"/>
  <c r="G2213" i="1"/>
  <c r="G2212" i="1"/>
  <c r="G2211" i="1"/>
  <c r="G2208" i="1"/>
  <c r="G2207" i="1"/>
  <c r="G2206" i="1"/>
  <c r="G2205" i="1"/>
  <c r="G2204" i="1"/>
  <c r="G2203" i="1"/>
  <c r="G2201" i="1"/>
  <c r="G2200" i="1"/>
  <c r="G2199" i="1"/>
  <c r="G2198" i="1"/>
  <c r="G2197" i="1"/>
  <c r="G2195" i="1"/>
  <c r="G2194" i="1"/>
  <c r="G2193" i="1"/>
  <c r="G2191" i="1"/>
  <c r="G2190" i="1"/>
  <c r="G2189" i="1"/>
  <c r="G2188" i="1"/>
  <c r="G2186" i="1"/>
  <c r="G2185" i="1"/>
  <c r="G2184" i="1"/>
  <c r="G2183" i="1"/>
  <c r="G2182" i="1"/>
  <c r="G2181" i="1"/>
  <c r="G2180" i="1"/>
  <c r="G2179" i="1"/>
  <c r="G2177" i="1"/>
  <c r="G2176" i="1"/>
  <c r="G2175" i="1"/>
  <c r="G2173" i="1"/>
  <c r="G2171" i="1"/>
  <c r="G2168" i="1"/>
  <c r="G2167" i="1"/>
  <c r="G2166" i="1"/>
  <c r="G2165" i="1"/>
  <c r="G2164" i="1"/>
  <c r="G2163" i="1"/>
  <c r="G2161" i="1"/>
  <c r="G2160" i="1"/>
  <c r="G2159" i="1"/>
  <c r="G2158" i="1"/>
  <c r="G2151" i="1"/>
  <c r="G2150" i="1"/>
  <c r="G2149" i="1"/>
  <c r="G2148" i="1"/>
  <c r="G2142" i="1"/>
  <c r="G2141" i="1"/>
  <c r="G2140" i="1"/>
  <c r="G2139" i="1"/>
  <c r="G2138" i="1"/>
  <c r="G2137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8" i="1"/>
  <c r="G2107" i="1"/>
  <c r="G2105" i="1"/>
  <c r="G2104" i="1"/>
  <c r="G2103" i="1"/>
  <c r="G2102" i="1"/>
  <c r="G2101" i="1"/>
  <c r="G2099" i="1"/>
  <c r="G2098" i="1"/>
  <c r="G2097" i="1"/>
  <c r="G2096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3" i="1"/>
  <c r="G2069" i="1"/>
  <c r="G2065" i="1"/>
  <c r="G2061" i="1"/>
  <c r="G2057" i="1"/>
  <c r="G2053" i="1"/>
  <c r="G2049" i="1"/>
  <c r="G2041" i="1"/>
  <c r="G2040" i="1"/>
  <c r="G2039" i="1"/>
  <c r="G2038" i="1"/>
  <c r="G2037" i="1"/>
  <c r="G2036" i="1"/>
  <c r="G2035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1972" i="1"/>
  <c r="G1971" i="1"/>
  <c r="G1969" i="1"/>
  <c r="G1968" i="1"/>
  <c r="G1966" i="1"/>
  <c r="G1965" i="1"/>
  <c r="G1963" i="1"/>
  <c r="G1962" i="1"/>
  <c r="G1958" i="1"/>
  <c r="G1957" i="1"/>
  <c r="G1955" i="1"/>
  <c r="G1954" i="1"/>
  <c r="G1952" i="1"/>
  <c r="G1951" i="1"/>
  <c r="G1949" i="1"/>
  <c r="G1948" i="1"/>
  <c r="G1945" i="1"/>
  <c r="G1944" i="1"/>
  <c r="G1942" i="1"/>
  <c r="G1941" i="1"/>
  <c r="G1937" i="1"/>
  <c r="G1936" i="1"/>
  <c r="G1935" i="1"/>
  <c r="G1934" i="1"/>
  <c r="G1933" i="1"/>
  <c r="G1928" i="1"/>
  <c r="G1927" i="1"/>
  <c r="G1926" i="1"/>
  <c r="G1925" i="1"/>
  <c r="G1924" i="1"/>
  <c r="G1923" i="1"/>
  <c r="G1922" i="1"/>
  <c r="G1921" i="1"/>
  <c r="G1920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7" i="1"/>
  <c r="G1886" i="1"/>
  <c r="G1885" i="1"/>
  <c r="G1882" i="1"/>
  <c r="G1881" i="1"/>
  <c r="G1880" i="1"/>
  <c r="G1878" i="1"/>
  <c r="G1877" i="1"/>
  <c r="G1876" i="1"/>
  <c r="G1875" i="1"/>
  <c r="G1874" i="1"/>
  <c r="G1873" i="1"/>
  <c r="G1872" i="1"/>
  <c r="G1871" i="1"/>
  <c r="G1867" i="1"/>
  <c r="G1866" i="1"/>
  <c r="G1865" i="1"/>
  <c r="G1864" i="1"/>
  <c r="G1863" i="1"/>
  <c r="G1861" i="1"/>
  <c r="G1860" i="1"/>
  <c r="G1859" i="1"/>
  <c r="G1858" i="1"/>
  <c r="G1857" i="1"/>
  <c r="G1854" i="1"/>
  <c r="G1853" i="1"/>
  <c r="G1852" i="1"/>
  <c r="G1851" i="1"/>
  <c r="G1850" i="1"/>
  <c r="G1846" i="1"/>
  <c r="G1845" i="1"/>
  <c r="G1844" i="1"/>
  <c r="G1843" i="1"/>
  <c r="G1842" i="1"/>
  <c r="G1841" i="1"/>
  <c r="G1840" i="1"/>
  <c r="G1839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0" i="1"/>
  <c r="G1729" i="1"/>
  <c r="G1728" i="1"/>
  <c r="G1727" i="1"/>
  <c r="G1726" i="1"/>
  <c r="G1725" i="1"/>
  <c r="G1724" i="1"/>
  <c r="G1723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2" i="1"/>
  <c r="G1701" i="1"/>
  <c r="G1700" i="1"/>
  <c r="G1699" i="1"/>
  <c r="G1698" i="1"/>
  <c r="G1697" i="1"/>
  <c r="G1696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13" i="1"/>
  <c r="G1612" i="1"/>
  <c r="G1611" i="1"/>
  <c r="G1610" i="1"/>
  <c r="G1609" i="1"/>
  <c r="G1608" i="1"/>
  <c r="G1607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3" i="1"/>
  <c r="G1561" i="1"/>
  <c r="G1560" i="1"/>
  <c r="G1559" i="1"/>
  <c r="G1557" i="1"/>
  <c r="G1556" i="1"/>
  <c r="G1555" i="1"/>
  <c r="G1534" i="1"/>
  <c r="G152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3" i="1"/>
  <c r="G1471" i="1"/>
  <c r="G1469" i="1"/>
  <c r="G1468" i="1"/>
  <c r="G1467" i="1"/>
  <c r="G1466" i="1"/>
  <c r="G1465" i="1"/>
  <c r="G1464" i="1"/>
  <c r="G1463" i="1"/>
  <c r="G1461" i="1"/>
  <c r="G1460" i="1"/>
  <c r="G1459" i="1"/>
  <c r="G1458" i="1"/>
  <c r="G1457" i="1"/>
  <c r="G1456" i="1"/>
  <c r="G1455" i="1"/>
  <c r="G1453" i="1"/>
  <c r="G1452" i="1"/>
  <c r="G1451" i="1"/>
  <c r="G1450" i="1"/>
  <c r="G1448" i="1"/>
  <c r="G1447" i="1"/>
  <c r="G1446" i="1"/>
  <c r="G1445" i="1"/>
  <c r="G1443" i="1"/>
  <c r="G1442" i="1"/>
  <c r="G1441" i="1"/>
  <c r="G1440" i="1"/>
  <c r="G1439" i="1"/>
  <c r="G1438" i="1"/>
  <c r="G1437" i="1"/>
  <c r="G1436" i="1"/>
  <c r="G1435" i="1"/>
  <c r="G1434" i="1"/>
  <c r="G1432" i="1"/>
  <c r="G1431" i="1"/>
  <c r="G1430" i="1"/>
  <c r="G1429" i="1"/>
  <c r="G1428" i="1"/>
  <c r="G1427" i="1"/>
  <c r="G1426" i="1"/>
  <c r="G1425" i="1"/>
  <c r="G1424" i="1"/>
  <c r="G1423" i="1"/>
  <c r="G1421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1" i="1"/>
  <c r="G1380" i="1"/>
  <c r="G1378" i="1"/>
  <c r="G1377" i="1"/>
  <c r="G1376" i="1"/>
  <c r="G1375" i="1"/>
  <c r="G1374" i="1"/>
  <c r="G1373" i="1"/>
  <c r="G1372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6" i="1"/>
  <c r="G1335" i="1"/>
  <c r="G1334" i="1"/>
  <c r="G1333" i="1"/>
  <c r="G1332" i="1"/>
  <c r="G1331" i="1"/>
  <c r="G1330" i="1"/>
  <c r="G1329" i="1"/>
  <c r="G1328" i="1"/>
  <c r="G1326" i="1"/>
  <c r="G1325" i="1"/>
  <c r="G1324" i="1"/>
  <c r="G1323" i="1"/>
  <c r="G1322" i="1"/>
  <c r="G1321" i="1"/>
  <c r="G1320" i="1"/>
  <c r="G1318" i="1"/>
  <c r="G1317" i="1"/>
  <c r="G1315" i="1"/>
  <c r="G1313" i="1"/>
  <c r="G1311" i="1"/>
  <c r="G1310" i="1"/>
  <c r="G1308" i="1"/>
  <c r="G1307" i="1"/>
  <c r="G1306" i="1"/>
  <c r="G1305" i="1"/>
  <c r="G1304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4" i="1"/>
  <c r="G1273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6" i="1"/>
  <c r="G1165" i="1"/>
  <c r="G1163" i="1"/>
  <c r="G1162" i="1"/>
  <c r="G1161" i="1"/>
  <c r="G1160" i="1"/>
  <c r="G1158" i="1"/>
  <c r="G1157" i="1"/>
  <c r="G1156" i="1"/>
  <c r="G1154" i="1"/>
  <c r="G1153" i="1"/>
  <c r="G1152" i="1"/>
  <c r="G1151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3" i="1"/>
  <c r="G1132" i="1"/>
  <c r="G1131" i="1"/>
  <c r="G1130" i="1"/>
  <c r="G1129" i="1"/>
  <c r="G1128" i="1"/>
  <c r="G1127" i="1"/>
  <c r="G1126" i="1"/>
  <c r="G1125" i="1"/>
  <c r="G1123" i="1"/>
  <c r="G1122" i="1"/>
  <c r="G1121" i="1"/>
  <c r="G1120" i="1"/>
  <c r="G1119" i="1"/>
  <c r="G1118" i="1"/>
  <c r="G1117" i="1"/>
  <c r="G1116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5" i="1"/>
  <c r="G1094" i="1"/>
  <c r="G1093" i="1"/>
  <c r="G1091" i="1"/>
  <c r="G1090" i="1"/>
  <c r="G1087" i="1"/>
  <c r="G1085" i="1"/>
  <c r="G1084" i="1"/>
  <c r="G1083" i="1"/>
  <c r="G1082" i="1"/>
  <c r="G1081" i="1"/>
  <c r="G1080" i="1"/>
  <c r="G1079" i="1"/>
  <c r="G1078" i="1"/>
  <c r="G1077" i="1"/>
  <c r="G1074" i="1"/>
  <c r="G1073" i="1"/>
  <c r="G1072" i="1"/>
  <c r="G1071" i="1"/>
  <c r="G1070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5" i="1"/>
  <c r="G934" i="1"/>
  <c r="G933" i="1"/>
  <c r="G932" i="1"/>
  <c r="G931" i="1"/>
  <c r="G930" i="1"/>
  <c r="G928" i="1"/>
  <c r="G927" i="1"/>
  <c r="G926" i="1"/>
  <c r="G924" i="1"/>
  <c r="G923" i="1"/>
  <c r="G920" i="1"/>
  <c r="G919" i="1"/>
  <c r="G918" i="1"/>
  <c r="G917" i="1"/>
  <c r="G916" i="1"/>
  <c r="G915" i="1"/>
  <c r="G914" i="1"/>
  <c r="G913" i="1"/>
  <c r="G911" i="1"/>
  <c r="G910" i="1"/>
  <c r="G909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2" i="1"/>
  <c r="G881" i="1"/>
  <c r="G880" i="1"/>
  <c r="G879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6" i="1"/>
  <c r="G835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3" i="1"/>
  <c r="G752" i="1"/>
  <c r="G751" i="1"/>
  <c r="G750" i="1"/>
  <c r="G749" i="1"/>
  <c r="G748" i="1"/>
  <c r="G747" i="1"/>
  <c r="G745" i="1"/>
  <c r="G744" i="1"/>
  <c r="G743" i="1"/>
  <c r="G741" i="1"/>
  <c r="G740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3" i="1"/>
  <c r="G722" i="1"/>
  <c r="G721" i="1"/>
  <c r="G720" i="1"/>
  <c r="G719" i="1"/>
  <c r="G718" i="1"/>
  <c r="G717" i="1"/>
  <c r="G716" i="1"/>
  <c r="G714" i="1"/>
  <c r="G713" i="1"/>
  <c r="G712" i="1"/>
  <c r="G711" i="1"/>
  <c r="G710" i="1"/>
  <c r="G709" i="1"/>
  <c r="G708" i="1"/>
  <c r="G707" i="1"/>
  <c r="G706" i="1"/>
  <c r="G705" i="1"/>
  <c r="G704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5" i="1"/>
  <c r="G684" i="1"/>
  <c r="G683" i="1"/>
  <c r="G682" i="1"/>
  <c r="G681" i="1"/>
  <c r="G676" i="1"/>
  <c r="G675" i="1"/>
  <c r="G674" i="1"/>
  <c r="G673" i="1"/>
  <c r="G672" i="1"/>
  <c r="G671" i="1"/>
  <c r="G669" i="1"/>
  <c r="G667" i="1"/>
  <c r="G666" i="1"/>
  <c r="G663" i="1"/>
  <c r="G656" i="1"/>
  <c r="G655" i="1"/>
  <c r="G654" i="1"/>
  <c r="G653" i="1"/>
  <c r="G652" i="1"/>
  <c r="G651" i="1"/>
  <c r="G650" i="1"/>
  <c r="G649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5" i="1"/>
  <c r="G614" i="1"/>
  <c r="G613" i="1"/>
  <c r="G612" i="1"/>
  <c r="G611" i="1"/>
  <c r="G610" i="1"/>
  <c r="G609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88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2" i="1"/>
  <c r="G551" i="1"/>
  <c r="G550" i="1"/>
  <c r="G549" i="1"/>
  <c r="G548" i="1"/>
  <c r="G547" i="1"/>
  <c r="G546" i="1"/>
  <c r="G545" i="1"/>
  <c r="G544" i="1"/>
  <c r="G543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6" i="1"/>
  <c r="G515" i="1"/>
  <c r="G514" i="1"/>
  <c r="G512" i="1"/>
  <c r="G511" i="1"/>
  <c r="G510" i="1"/>
  <c r="G509" i="1"/>
  <c r="G508" i="1"/>
  <c r="G507" i="1"/>
  <c r="G505" i="1"/>
  <c r="G504" i="1"/>
  <c r="G503" i="1"/>
  <c r="G502" i="1"/>
  <c r="G501" i="1"/>
  <c r="G500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5" i="1"/>
  <c r="G484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6" i="1"/>
  <c r="G465" i="1"/>
  <c r="G464" i="1"/>
  <c r="G463" i="1"/>
  <c r="G462" i="1"/>
  <c r="G461" i="1"/>
  <c r="G460" i="1"/>
  <c r="G459" i="1"/>
  <c r="G458" i="1"/>
  <c r="G457" i="1"/>
  <c r="G455" i="1"/>
  <c r="G454" i="1"/>
  <c r="G453" i="1"/>
  <c r="G452" i="1"/>
  <c r="G451" i="1"/>
  <c r="G450" i="1"/>
  <c r="G449" i="1"/>
  <c r="G448" i="1"/>
  <c r="G447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83" i="1"/>
  <c r="G382" i="1"/>
  <c r="G381" i="1"/>
  <c r="G380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4" i="1"/>
  <c r="G363" i="1"/>
  <c r="G362" i="1"/>
  <c r="G361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6" i="1"/>
  <c r="G325" i="1"/>
  <c r="G324" i="1"/>
  <c r="G323" i="1"/>
  <c r="G322" i="1"/>
  <c r="G321" i="1"/>
  <c r="G320" i="1"/>
  <c r="G319" i="1"/>
  <c r="G318" i="1"/>
  <c r="G317" i="1"/>
  <c r="G316" i="1"/>
  <c r="G313" i="1"/>
  <c r="G312" i="1"/>
  <c r="G311" i="1"/>
  <c r="G310" i="1"/>
  <c r="G309" i="1"/>
  <c r="G307" i="1"/>
  <c r="G305" i="1"/>
  <c r="G303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8" i="1"/>
  <c r="G287" i="1"/>
  <c r="G286" i="1"/>
  <c r="G285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4" i="1"/>
  <c r="G203" i="1"/>
  <c r="G202" i="1"/>
  <c r="G201" i="1"/>
  <c r="G200" i="1"/>
  <c r="G199" i="1"/>
  <c r="G198" i="1"/>
  <c r="G197" i="1"/>
  <c r="G196" i="1"/>
  <c r="G195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<sst xmlns="http://schemas.openxmlformats.org/spreadsheetml/2006/main" count="22350" uniqueCount="15164">
  <si>
    <t>Номенклатура</t>
  </si>
  <si>
    <t>1.Товари E.NEXT</t>
  </si>
  <si>
    <t>1.Модульне обладнання</t>
  </si>
  <si>
    <t>1.Модульні автоматичні вимикачі MCB</t>
  </si>
  <si>
    <t>1.Модульні автоматичні вимикачі серії STAND</t>
  </si>
  <si>
    <t>1.Модульні автоматичні вимикачі В, 1-3р, 1-63А, 4,5кА</t>
  </si>
  <si>
    <t>s001001</t>
  </si>
  <si>
    <t>Модульний автоматичний вимикач e.mcb.stand.45.1.B1, 1р, 1А, В, 4,5 кА</t>
  </si>
  <si>
    <t>шт</t>
  </si>
  <si>
    <t>s001002</t>
  </si>
  <si>
    <t>Модульний автоматичний вимикач e.mcb.stand.45.1.B2, 1р, 2А, В, 4,5 кА</t>
  </si>
  <si>
    <t>s001003</t>
  </si>
  <si>
    <t>Модульний автоматичний вимикач e.mcb.stand.45.1.B3, 1р, 3А, В, 4,5 кА</t>
  </si>
  <si>
    <t>s001004</t>
  </si>
  <si>
    <t>Модульний автоматичний вимикач e.mcb.stand.45.1.B4, 1р, 4А, В, 4,5 кА</t>
  </si>
  <si>
    <t>s001005</t>
  </si>
  <si>
    <t>Модульний автоматичний вимикач e.mcb.stand.45.1.B5, 1р, 5А, В, 4,5 кА</t>
  </si>
  <si>
    <t>s001006</t>
  </si>
  <si>
    <t>Модульний автоматичний вимикач e.mcb.stand.45.1.B6, 1р, 6А, В, 4,5 кА</t>
  </si>
  <si>
    <t>s001007</t>
  </si>
  <si>
    <t>Модульний автоматичний вимикач e.mcb.stand.45.1.B10, 1р, 10А, В, 4,5 кА</t>
  </si>
  <si>
    <t>s001008</t>
  </si>
  <si>
    <t>Модульний автоматичний вимикач e.mcb.stand.45.1.B16, 1р, 16А, В, 4,5 кА</t>
  </si>
  <si>
    <t>s001009</t>
  </si>
  <si>
    <t>Модульний автоматичний вимикач e.mcb.stand.45.1.B20, 1р, 20А, В, 4,5 кА</t>
  </si>
  <si>
    <t>s001010</t>
  </si>
  <si>
    <t>Модульний автоматичний вимикач e.mcb.stand.45.1.B25, 1р, 25А, В, 4,5 кА</t>
  </si>
  <si>
    <t>s001011</t>
  </si>
  <si>
    <t>Модульний автоматичний вимикач e.mcb.stand.45.1.B32, 1р, 32А, В, 4,5 кА</t>
  </si>
  <si>
    <t>s001012</t>
  </si>
  <si>
    <t>Модульний автоматичний вимикач e.mcb.stand.45.1.B40, 1р, 40А, В, 4,5 кА</t>
  </si>
  <si>
    <t>s001013</t>
  </si>
  <si>
    <t>Модульний автоматичний вимикач e.mcb.stand.45.1.B50, 1р, 50А, В, 4,5 кА</t>
  </si>
  <si>
    <t>s001014</t>
  </si>
  <si>
    <t>Модульний автоматичний вимикач e.mcb.stand.45.1.B63, 1р, 63А, В, 4,5 кА</t>
  </si>
  <si>
    <t>s001015</t>
  </si>
  <si>
    <t>Модульний автоматичний вимикач e.mcb.stand.45.2.B6, 2р, 6А, В, 4,5 кА</t>
  </si>
  <si>
    <t>s001016</t>
  </si>
  <si>
    <t>Модульний автоматичний вимикач e.mcb.stand.45.2.B10, 2р, 10А, В, 4,5 кА</t>
  </si>
  <si>
    <t>s001017</t>
  </si>
  <si>
    <t>Модульний автоматичний вимикач e.mcb.stand.45.2.B16, 2р, 16А, В, 4,5 кА</t>
  </si>
  <si>
    <t>s001018</t>
  </si>
  <si>
    <t>Модульний автоматичний вимикач e.mcb.stand.45.2.B20, 2р, 20А, В, 4,5 кА</t>
  </si>
  <si>
    <t>s001019</t>
  </si>
  <si>
    <t>Модульний автоматичний вимикач e.mcb.stand.45.2.B25, 2р, 25А, В, 4,5 кА</t>
  </si>
  <si>
    <t>s001020</t>
  </si>
  <si>
    <t>Модульний автоматичний вимикач e.mcb.stand.45.2.B32, 2р, 32А, В, 4,5 кА</t>
  </si>
  <si>
    <t>s001021</t>
  </si>
  <si>
    <t>Модульний автоматичний вимикач e.mcb.stand.45.2.B40, 2р, 40А, В, 4,5 кА</t>
  </si>
  <si>
    <t>s001022</t>
  </si>
  <si>
    <t>Модульний автоматичний вимикач e.mcb.stand.45.2.B50, 2р, 50А, В, 4,5 кА</t>
  </si>
  <si>
    <t>s001023</t>
  </si>
  <si>
    <t>Модульний автоматичний вимикач e.mcb.stand.45.2.B63, 2р, 63А, В, 4,5 кА</t>
  </si>
  <si>
    <t>s001024</t>
  </si>
  <si>
    <t>Модульний автоматичний вимикач e.mcb.stand.45.3.B6, 3р, 6А, В, 4,5 кА</t>
  </si>
  <si>
    <t>s001025</t>
  </si>
  <si>
    <t>Модульний автоматичний вимикач e.mcb.stand.45.3.B10, 3р, 10А, В, 4,5 кА</t>
  </si>
  <si>
    <t>s001026</t>
  </si>
  <si>
    <t>Модульний автоматичний вимикач e.mcb.stand.45.3.B16, 3р, 16А, В, 4,5 кА</t>
  </si>
  <si>
    <t>s001027</t>
  </si>
  <si>
    <t>Модульний автоматичний вимикач e.mcb.stand.45.3.B20, 3р, 20А, В, 4,5 кА</t>
  </si>
  <si>
    <t>s001028</t>
  </si>
  <si>
    <t>Модульний автоматичний вимикач e.mcb.stand.45.3.B25, 3р, 25А, В, 4,5 кА</t>
  </si>
  <si>
    <t>s001029</t>
  </si>
  <si>
    <t>Модульний автоматичний вимикач e.mcb.stand.45.3.B32, 3р, 32А, В, 4,5 кА</t>
  </si>
  <si>
    <t>s001030</t>
  </si>
  <si>
    <t>Модульний автоматичний вимикач e.mcb.stand.45.3.B40, 3р, 40А, В, 4,5 кА</t>
  </si>
  <si>
    <t>s001031</t>
  </si>
  <si>
    <t>Модульний автоматичний вимикач e.mcb.stand.45.3.B50, 3р, 50А, В, 4,5 кА</t>
  </si>
  <si>
    <t>s001032</t>
  </si>
  <si>
    <t>Модульний автоматичний вимикач e.mcb.stand.45.3.B63, 3р, 63А, В, 4,5 кА</t>
  </si>
  <si>
    <t>2.Модульні автоматичні вимикачі С, 1-4р, 1-63А, 4,5кА</t>
  </si>
  <si>
    <t>s002001</t>
  </si>
  <si>
    <t>Модульний автоматичний вимикач e.mcb.stand.45.1.C1, 1р, 1А, C, 4,5 кА</t>
  </si>
  <si>
    <t>s002002</t>
  </si>
  <si>
    <t>Модульний автоматичний вимикач e.mcb.stand.45.1.C2, 1р, 2А, C, 4,5 кА</t>
  </si>
  <si>
    <t>s002003</t>
  </si>
  <si>
    <t>Модульний автоматичний вимикач e.mcb.stand.45.1.C3, 1р, 3А, C, 4,5 кА</t>
  </si>
  <si>
    <t>s002004</t>
  </si>
  <si>
    <t>Модульний автоматичний вимикач e.mcb.stand.45.1.C4, 1р, 4А, C, 4,5 кА</t>
  </si>
  <si>
    <t>s002005</t>
  </si>
  <si>
    <t>Модульний автоматичний вимикач e.mcb.stand.45.1.C5, 1р, 5А, C, 4,5 кА</t>
  </si>
  <si>
    <t>s002006</t>
  </si>
  <si>
    <t>Модульний автоматичний вимикач e.mcb.stand.45.1.C6, 1р, 6А, C, 4,5 кА</t>
  </si>
  <si>
    <t>s002007</t>
  </si>
  <si>
    <t>Модульний автоматичний вимикач e.mcb.stand.45.1.C10, 1р, 10А, C, 4,5 кА</t>
  </si>
  <si>
    <t>s002008</t>
  </si>
  <si>
    <t>Модульний автоматичний вимикач e.mcb.stand.45.1.C16, 1р, 16А, C, 4,5 кА</t>
  </si>
  <si>
    <t>s002009</t>
  </si>
  <si>
    <t>Модульний автоматичний вимикач e.mcb.stand.45.1.C20, 1р, 20А, C, 4,5 кА</t>
  </si>
  <si>
    <t>s002010</t>
  </si>
  <si>
    <t>Модульний автоматичний вимикач e.mcb.stand.45.1.C25, 1р, 25А, C, 4,5 кА</t>
  </si>
  <si>
    <t>s002011</t>
  </si>
  <si>
    <t>Модульний автоматичний вимикач e.mcb.stand.45.1.C32, 1р, 32А, C, 4,5 кА</t>
  </si>
  <si>
    <t>s002012</t>
  </si>
  <si>
    <t>Модульний автоматичний вимикач e.mcb.stand.45.1.C40, 1р, 40А, C, 4,5 кА</t>
  </si>
  <si>
    <t>s002013</t>
  </si>
  <si>
    <t>Модульний автоматичний вимикач e.mcb.stand.45.1.C50, 1р, 50А, C, 4,5 кА</t>
  </si>
  <si>
    <t>s002014</t>
  </si>
  <si>
    <t>Модульний автоматичний вимикач e.mcb.stand.45.1.C63, 1р, 63А, C, 4,5 кА</t>
  </si>
  <si>
    <t>s002054</t>
  </si>
  <si>
    <t>Модульний автоматичний вимикач e.mcb.stand.45.2.C1, 2р, 1А, C, 4,5 кА</t>
  </si>
  <si>
    <t>s002041</t>
  </si>
  <si>
    <t>Модульний автоматичний вимикач e.mcb.stand.45.2.C2, 2р, 2А, C, 4,5 кА</t>
  </si>
  <si>
    <t>s002042</t>
  </si>
  <si>
    <t>Модульний автоматичний вимикач e.mcb.stand.45.2.C3, 2р, 3А, C, 4,5 кА</t>
  </si>
  <si>
    <t>s002043</t>
  </si>
  <si>
    <t>Модульний автоматичний вимикач e.mcb.stand.45.2.C4, 2р, 4А, C, 4,5 кА</t>
  </si>
  <si>
    <t>s002055</t>
  </si>
  <si>
    <t>Модульний автоматичний вимикач e.mcb.stand.45.2.C5, 2р, 5А, C, 4,5 кА</t>
  </si>
  <si>
    <t>s002015</t>
  </si>
  <si>
    <t>Модульний автоматичний вимикач e.mcb.stand.45.2.C6, 2р, 6А, C, 4,5 кА</t>
  </si>
  <si>
    <t>s002016</t>
  </si>
  <si>
    <t>Модульний автоматичний вимикач e.mcb.stand.45.2.C10, 2р, 10А, C, 4,5 кА</t>
  </si>
  <si>
    <t>s002017</t>
  </si>
  <si>
    <t>Модульний автоматичний вимикач e.mcb.stand.45.2.C16, 2р, 16А, C, 4,5 кА</t>
  </si>
  <si>
    <t>s002018</t>
  </si>
  <si>
    <t>Модульний автоматичний вимикач e.mcb.stand.45.2.C20, 2р, 20А, C, 4,5 кА</t>
  </si>
  <si>
    <t>s002019</t>
  </si>
  <si>
    <t>Модульний автоматичний вимикач e.mcb.stand.45.2.C25, 2р, 25А, C, 4,5 кА</t>
  </si>
  <si>
    <t>s002020</t>
  </si>
  <si>
    <t>Модульний автоматичний вимикач e.mcb.stand.45.2.C32, 2р, 32А, C, 4,5 кА</t>
  </si>
  <si>
    <t>s002021</t>
  </si>
  <si>
    <t>Модульний автоматичний вимикач e.mcb.stand.45.2.C40, 2р, 40А, C, 4,5 кА</t>
  </si>
  <si>
    <t>s002022</t>
  </si>
  <si>
    <t>Модульний автоматичний вимикач e.mcb.stand.45.2.C50, 2р, 50А, C, 4,5 кА</t>
  </si>
  <si>
    <t>s002023</t>
  </si>
  <si>
    <t>Модульний автоматичний вимикач e.mcb.stand.45.2.C63, 2р, 63А, C, 4,5 кА</t>
  </si>
  <si>
    <t>s002024</t>
  </si>
  <si>
    <t>Модульний автоматичний вимикач e.mcb.stand.45.3.C1, 3р, 1А, C, 4,5 кА</t>
  </si>
  <si>
    <t>s002025</t>
  </si>
  <si>
    <t>Модульний автоматичний вимикач e.mcb.stand.45.3.C2, 3р, 2А, C, 4,5 кА</t>
  </si>
  <si>
    <t>s002026</t>
  </si>
  <si>
    <t>Модульний автоматичний вимикач e.mcb.stand.45.3.C3, 3р, 3А, C, 4,5 кА</t>
  </si>
  <si>
    <t>s002027</t>
  </si>
  <si>
    <t>Модульний автоматичний вимикач e.mcb.stand.45.3.C4, 3р, 4А, C, 4,5 кА</t>
  </si>
  <si>
    <t>s002028</t>
  </si>
  <si>
    <t>Модульний автоматичний вимикач e.mcb.stand.45.3.C5, 3р, 5А, C, 4,5 кА</t>
  </si>
  <si>
    <t>s002029</t>
  </si>
  <si>
    <t>Модульний автоматичний вимикач e.mcb.stand.45.3.C6, 3р, 6А, C, 4,5 кА</t>
  </si>
  <si>
    <t>s002030</t>
  </si>
  <si>
    <t>Модульний автоматичний вимикач e.mcb.stand.45.3.C10, 3р, 10А, C, 4,5 кА</t>
  </si>
  <si>
    <t>s002031</t>
  </si>
  <si>
    <t>Модульний автоматичний вимикач e.mcb.stand.45.3.C16, 3р, 16А, C, 4,5 кА</t>
  </si>
  <si>
    <t>s002032</t>
  </si>
  <si>
    <t>Модульний автоматичний вимикач e.mcb.stand.45.3.C20, 3р, 20А, C, 4,5 кА</t>
  </si>
  <si>
    <t>s002033</t>
  </si>
  <si>
    <t>Модульний автоматичний вимикач e.mcb.stand.45.3.C25, 3р, 25А, C, 4,5 кА</t>
  </si>
  <si>
    <t>s002034</t>
  </si>
  <si>
    <t>Модульний автоматичний вимикач e.mcb.stand.45.3.C32, 3р, 32А, C, 4,5 кА</t>
  </si>
  <si>
    <t>s002035</t>
  </si>
  <si>
    <t>Модульний автоматичний вимикач e.mcb.stand.45.3.C40, 3р, 40А, C, 4,5 кА</t>
  </si>
  <si>
    <t>s002036</t>
  </si>
  <si>
    <t>Модульний автоматичний вимикач e.mcb.stand.45.3.C50, 3р, 50А, C, 4,5 кА</t>
  </si>
  <si>
    <t>s002037</t>
  </si>
  <si>
    <t>Модульний автоматичний вимикач e.mcb.stand.45.3.C63, 3р, 63А, C, 4,5 кА</t>
  </si>
  <si>
    <t>s002046</t>
  </si>
  <si>
    <t>Модульний автоматичний вимикач e.mcb.stand.45.4.C10, 4р, 10А, C, 4,5 кА</t>
  </si>
  <si>
    <t>s002047</t>
  </si>
  <si>
    <t>Модульний автоматичний вимикач e.mcb.stand.45.4.C16, 4р, 16А, C, 4,5 кА</t>
  </si>
  <si>
    <t>s002048</t>
  </si>
  <si>
    <t>Модульний автоматичний вимикач e.mcb.stand.45.4.C20, 4р, 20А, C, 4,5 кА</t>
  </si>
  <si>
    <t>s002049</t>
  </si>
  <si>
    <t>Модульний автоматичний вимикач e.mcb.stand.45.4.C25, 4р, 25А, C, 4,5 кА</t>
  </si>
  <si>
    <t>s002050</t>
  </si>
  <si>
    <t>Модульний автоматичний вимикач e.mcb.stand.45.4.C32, 4р, 32А, C, 4,5 кА</t>
  </si>
  <si>
    <t>s002051</t>
  </si>
  <si>
    <t>Модульний автоматичний вимикач e.mcb.stand.45.4.C40, 4р, 40А, C, 4,5 кА</t>
  </si>
  <si>
    <t>s002052</t>
  </si>
  <si>
    <t>Модульний автоматичний вимикач e.mcb.stand.45.4.C50, 4р, 50А, C, 4,5 кА</t>
  </si>
  <si>
    <t>s002053</t>
  </si>
  <si>
    <t>Модульний автоматичний вимикач e.mcb.stand.45.4.C63, 4р, 63А, C, 4,5 кА</t>
  </si>
  <si>
    <t>p055003</t>
  </si>
  <si>
    <t>Модульний автоматичний вимикач e.mcb.pro.60.1N.С25.thin, 1р+N, 25А, C, 4,5кА, тонкий</t>
  </si>
  <si>
    <t>p055002</t>
  </si>
  <si>
    <t>Модульний автоматичний вимикач e.mcb.pro.60.1N.С20.thin, 1р+N, 20А, C, 4,5кА, тонкий</t>
  </si>
  <si>
    <t>p055001</t>
  </si>
  <si>
    <t>Модульний автоматичний вимикач e.mcb.pro.60.1N.С16.thin, 1р+N, 16А, C, 4,5кА, тонкий</t>
  </si>
  <si>
    <t>3.Модульні автоматичні вимикачі D, 3р, 63-100А, 10кА</t>
  </si>
  <si>
    <t>s026001</t>
  </si>
  <si>
    <t>Модульний автоматичний вимикач e.mcb.stand.100.3.D63, 3р, 63А, D, 10кА</t>
  </si>
  <si>
    <t>2.Модульні автоматичні вимикачі серії PRO</t>
  </si>
  <si>
    <t>1.Модульні автоматичні вимикачі В, 1-3р, 1-63А, 6 кА</t>
  </si>
  <si>
    <t>p041001</t>
  </si>
  <si>
    <t>Модульний автоматичний вимикач e.mcb.pro.60.1.B 1 new, 1р, 1А, В, 6кА, new</t>
  </si>
  <si>
    <t>p041002</t>
  </si>
  <si>
    <t>Модульний автоматичний вимикач e.mcb.pro.60.1.B 2 new, 1р, 2А, В, 6кА, new</t>
  </si>
  <si>
    <t>p041003</t>
  </si>
  <si>
    <t>Модульний автоматичний вимикач e.mcb.pro.60.1.B 3 new, 1р, 3А, В, 6кА, new</t>
  </si>
  <si>
    <t>p041004</t>
  </si>
  <si>
    <t>Модульний автоматичний вимикач e.mcb.pro.60.1.B 4 new, 1р, 4А, В, 6кА, new</t>
  </si>
  <si>
    <t>p041005</t>
  </si>
  <si>
    <t>Модульний автоматичний вимикач e.mcb.pro.60.1.B 5 new, 1р, 5А, В, 6кА, new</t>
  </si>
  <si>
    <t>p041006</t>
  </si>
  <si>
    <t>Модульний автоматичний вимикач e.mcb.pro.60.1.B 6 new, 1р, 6А, В, 6кА, new</t>
  </si>
  <si>
    <t>p041007</t>
  </si>
  <si>
    <t>Модульний автоматичний вимикач e.mcb.pro.60.1.B 10 new, 1р, 10А, В, 6кА, new</t>
  </si>
  <si>
    <t>p041008</t>
  </si>
  <si>
    <t>Модульний автоматичний вимикач e.mcb.pro.60.1.B 16 new, 1р, 16А, В, 6кА, new</t>
  </si>
  <si>
    <t>p041009</t>
  </si>
  <si>
    <t>Модульний автоматичний вимикач e.mcb.pro.60.1.B 20 new, 1р, 20А, В, 6кА, new</t>
  </si>
  <si>
    <t>p041010</t>
  </si>
  <si>
    <t>Модульний автоматичний вимикач e.mcb.pro.60.1.B 25 new, 1р, 25А, В, 6кА, new</t>
  </si>
  <si>
    <t>p041011</t>
  </si>
  <si>
    <t>Модульний автоматичний вимикач e.mcb.pro.60.1.B 32 new, 1р, 32А, В, 6кА, new</t>
  </si>
  <si>
    <t>p041012</t>
  </si>
  <si>
    <t>Модульний автоматичний вимикач e.mcb.pro.60.1.B 40 new, 1р, 40А, В, 6кА, new</t>
  </si>
  <si>
    <t>p041013</t>
  </si>
  <si>
    <t>Модульний автоматичний вимикач e.mcb.pro.60.1.B 50 new, 1р, 50А, В, 6кА, new</t>
  </si>
  <si>
    <t>p041014</t>
  </si>
  <si>
    <t>Модульний автоматичний вимикач e.mcb.pro.60.1.B 63 new, 1р, 63А, В, 6кА, new</t>
  </si>
  <si>
    <t>p041015</t>
  </si>
  <si>
    <t>Модульний автоматичний вимикач e.mcb.pro.60.2.B 6 new, 2р, 6А, В, 6кА, new</t>
  </si>
  <si>
    <t>p041016</t>
  </si>
  <si>
    <t>Модульний автоматичний вимикач e.mcb.pro.60.2.B 10 new, 2р, 10А, В, 6кА, new</t>
  </si>
  <si>
    <t>p041017</t>
  </si>
  <si>
    <t>Модульний автоматичний вимикач e.mcb.pro.60.2.B 16 new, 2р, 16А, В, 6кА, new</t>
  </si>
  <si>
    <t>p041018</t>
  </si>
  <si>
    <t>Модульний автоматичний вимикач e.mcb.pro.60.2.B 20 new, 2р, 20А, В, 6кА, new</t>
  </si>
  <si>
    <t>p041019</t>
  </si>
  <si>
    <t>Модульний автоматичний вимикач e.mcb.pro.60.2.B 25 new, 2р, 25А, В, 6кА, new</t>
  </si>
  <si>
    <t>p041020</t>
  </si>
  <si>
    <t>Модульний автоматичний вимикач e.mcb.pro.60.2.B 32 new, 2р, 32А, В, 6кА, new</t>
  </si>
  <si>
    <t>p041021</t>
  </si>
  <si>
    <t>Модульний автоматичний вимикач e.mcb.pro.60.2.B 40 new, 2р, 40А, В, 6кА, new</t>
  </si>
  <si>
    <t>p041022</t>
  </si>
  <si>
    <t>Модульний автоматичний вимикач e.mcb.pro.60.2.B 50 new, 2р, 50А, В, 6кА, new</t>
  </si>
  <si>
    <t>p041023</t>
  </si>
  <si>
    <t>Модульний автоматичний вимикач e.mcb.pro.60.2.B 63 new, 2р, 63А, В, 6кА, new</t>
  </si>
  <si>
    <t>p041024</t>
  </si>
  <si>
    <t>Модульний автоматичний вимикач e.mcb.pro.60.3.B 6 new, 3р, 6А, В, 6кА, new</t>
  </si>
  <si>
    <t>p041025</t>
  </si>
  <si>
    <t>Модульний автоматичний вимикач e.mcb.pro.60.3.B 10 new, 3р, 10А, В, 6кА, new</t>
  </si>
  <si>
    <t>p041026</t>
  </si>
  <si>
    <t>Модульний автоматичний вимикач e.mcb.pro.60.3.B 16 new, 3р, 16А, В, 6кА, new</t>
  </si>
  <si>
    <t>p041027</t>
  </si>
  <si>
    <t>Модульний автоматичний вимикач e.mcb.pro.60.3.B 20 new, 3р, 20А, В, 6кА, new</t>
  </si>
  <si>
    <t>p041028</t>
  </si>
  <si>
    <t>Модульний автоматичний вимикач e.mcb.pro.60.3.B 25 new, 3р, 25А, В, 6кА, new</t>
  </si>
  <si>
    <t>p041029</t>
  </si>
  <si>
    <t>Модульний автоматичний вимикач e.mcb.pro.60.3.B 32 new, 3р, 32А, В, 6кА, new</t>
  </si>
  <si>
    <t>p041030</t>
  </si>
  <si>
    <t>Модульний автоматичний вимикач e.mcb.pro.60.3.B 40 new, 3р, 40А, В, 6кА, new</t>
  </si>
  <si>
    <t>p041031</t>
  </si>
  <si>
    <t>Модульний автоматичний вимикач e.mcb.pro.60.3.B 50 new, 3р, 50А, В, 6кА, new</t>
  </si>
  <si>
    <t>p041032</t>
  </si>
  <si>
    <t>Модульний автоматичний вимикач e.mcb.pro.60.3.B 63 new, 3р, 63А, В, 6кА, new</t>
  </si>
  <si>
    <t>2.Модульні автоматичні вимикачі С, 1-3р, 1-63А, 6кА</t>
  </si>
  <si>
    <t>p042001</t>
  </si>
  <si>
    <t>Модульний автоматичний вимикач e.mcb.pro.60.1.C 1 new, 1р, 1А, C, 6кА new</t>
  </si>
  <si>
    <t>p042002</t>
  </si>
  <si>
    <t>Модульний автоматичний вимикач e.mcb.pro.60.1.C 2 new, 1р, 2А, C, 6кА new</t>
  </si>
  <si>
    <t>p042003</t>
  </si>
  <si>
    <t>Модульний автоматичний вимикач e.mcb.pro.60.1.C 3 new, 1р, 3А, C, 6кА new</t>
  </si>
  <si>
    <t>p042004</t>
  </si>
  <si>
    <t>Модульний автоматичний вимикач e.mcb.pro.60.1.C 4 new, 1р, 4А, C, 6кА new</t>
  </si>
  <si>
    <t>p042005</t>
  </si>
  <si>
    <t>Модульний автоматичний вимикач e.mcb.pro.60.1.C 5 new, 1р, 5А, C, 6кА new</t>
  </si>
  <si>
    <t>p042006</t>
  </si>
  <si>
    <t>Модульний автоматичний вимикач e.mcb.pro.60.1.C 6 new, 1р, 6А, C, 6кА new</t>
  </si>
  <si>
    <t>p042007</t>
  </si>
  <si>
    <t>Модульний автоматичний вимикач e.mcb.pro.60.1.C 10 new, 1р, 10А, C, 6кА new</t>
  </si>
  <si>
    <t>p042008</t>
  </si>
  <si>
    <t>Модульний автоматичний вимикач e.mcb.pro.60.1.C16 new, 1р, 16А, C, 6кА new</t>
  </si>
  <si>
    <t>p042009</t>
  </si>
  <si>
    <t>Модульний автоматичний вимикач e.mcb.pro.60.1.C 20 new, 1р, 20А, C, 6кА new</t>
  </si>
  <si>
    <t>p042010</t>
  </si>
  <si>
    <t>Модульний автоматичний вимикач e.mcb.pro.60.1.C 25 new, 1р, 25А, C, 6кА new</t>
  </si>
  <si>
    <t>p042011</t>
  </si>
  <si>
    <t>Модульний автоматичний вимикач e.mcb.pro.60.1.C 32 new, 1р, 32А, C, 6кА new</t>
  </si>
  <si>
    <t>p042012</t>
  </si>
  <si>
    <t>Модульний автоматичний вимикач e.mcb.pro.60.1.C 40 new, 1р, 40А, C, 6кА new</t>
  </si>
  <si>
    <t>p042013</t>
  </si>
  <si>
    <t>Модульний автоматичний вимикач e.mcb.pro.60.1.C 50 new, 1р, 50А, C, 6кА new</t>
  </si>
  <si>
    <t>p042014</t>
  </si>
  <si>
    <t>Модульний автоматичний вимикач e.mcb.pro.60.1.C 63 new, 1р, 63А, C, 6кА new</t>
  </si>
  <si>
    <t>p042015</t>
  </si>
  <si>
    <t>Модульний автоматичний вимикач e.mcb.pro.60.2.C 6 new, 2р, 6А, C, 6кА new</t>
  </si>
  <si>
    <t>p042016</t>
  </si>
  <si>
    <t>Модульний автоматичний вимикач e.mcb.pro.60.2.C 10 new, 2р, 10А, C, 6кА new</t>
  </si>
  <si>
    <t>p042017</t>
  </si>
  <si>
    <t>Модульний автоматичний вимикач e.mcb.pro.60.2.C 16 new, 2р, 16А, C, 6кА new</t>
  </si>
  <si>
    <t>p042018</t>
  </si>
  <si>
    <t>Модульний автоматичний вимикач e.mcb.pro.60.2.C 20 new, 2р, 20А, C, 6кА new</t>
  </si>
  <si>
    <t>p042019</t>
  </si>
  <si>
    <t>Модульний автоматичний вимикач e.mcb.pro.60.2.C 25 new, 2р, 25А, C, 6кА new</t>
  </si>
  <si>
    <t>p042020</t>
  </si>
  <si>
    <t>Модульний автоматичний вимикач e.mcb.pro.60.2.C 32 new, 2р, 32А, C, 6кА new</t>
  </si>
  <si>
    <t>p042021</t>
  </si>
  <si>
    <t>Модульний автоматичний вимикач e.mcb.pro.60.2.C 40 new, 2р, 40А, C, 6кА new</t>
  </si>
  <si>
    <t>p042022</t>
  </si>
  <si>
    <t>Модульний автоматичний вимикач e.mcb.pro.60.2.C 50 new, 2р, 50А, C, 6кА new</t>
  </si>
  <si>
    <t>p042023</t>
  </si>
  <si>
    <t>Модульний автоматичний вимикач e.mcb.pro.60.2.C 63 new, 2р, 63А, C, 6кА new</t>
  </si>
  <si>
    <t>p042024</t>
  </si>
  <si>
    <t>Модульний автоматичний вимикач e.mcb.pro.60.3.C 1 new, 3р, 1А, C, 6кА new</t>
  </si>
  <si>
    <t>p042025</t>
  </si>
  <si>
    <t>Модульний автоматичний вимикач e.mcb.pro.60.3.C 2 new, 3р, 2А, C, 6кА new</t>
  </si>
  <si>
    <t>p042026</t>
  </si>
  <si>
    <t>Модульний автоматичний вимикач e.mcb.pro.60.3.C 3 new, 3р, 3А, C, 6кА new</t>
  </si>
  <si>
    <t>p042027</t>
  </si>
  <si>
    <t>Модульний автоматичний вимикач e.mcb.pro.60.3.C 4 new, 3р, 4А, C, 6кА new</t>
  </si>
  <si>
    <t>p042028</t>
  </si>
  <si>
    <t>Модульний автоматичний вимикач e.mcb.pro.60.3.C 5 new, 3р, 5А, C, 6кА new</t>
  </si>
  <si>
    <t>p042029</t>
  </si>
  <si>
    <t>Модульний автоматичний вимикач e.mcb.pro.60.3.C 6 new, 3р, 6А, C, 6кА new</t>
  </si>
  <si>
    <t>p042030</t>
  </si>
  <si>
    <t>Модульний автоматичний вимикач e.mcb.pro.60.3.C 10 new, 3р, 10А, C, 6кА new</t>
  </si>
  <si>
    <t>p042031</t>
  </si>
  <si>
    <t>Модульний автоматичний вимикач e.mcb.pro.60.3.C 16 new, 3р, 16А, C, 6кА new</t>
  </si>
  <si>
    <t>p042032</t>
  </si>
  <si>
    <t>Модульний автоматичний вимикач e.mcb.pro.60.3.C 20 new, 3р, 20А, C, 6кА new</t>
  </si>
  <si>
    <t>p042033</t>
  </si>
  <si>
    <t>Модульний автоматичний вимикач e.mcb.pro.60.3.C 25 new, 3р, 25А, C, 6кА new</t>
  </si>
  <si>
    <t>p042034</t>
  </si>
  <si>
    <t>Модульний автоматичний вимикач e.mcb.pro.60.3.C 32 new, 3р, 32А, C, 6кА new</t>
  </si>
  <si>
    <t>p042035</t>
  </si>
  <si>
    <t>Модульний автоматичний вимикач e.mcb.pro.60.3.C 40 new, 3р, 40А, C, 6кА new</t>
  </si>
  <si>
    <t>p042036</t>
  </si>
  <si>
    <t>Модульний автоматичний вимикач e.mcb.pro.60.3.C 50 new, 3р, 50А, C, 6кА new</t>
  </si>
  <si>
    <t>p042037</t>
  </si>
  <si>
    <t>Модульний автоматичний вимикач e.mcb.pro.60.3.C 63 new, 3р, 63А, C 6кА new</t>
  </si>
  <si>
    <t>4.Модульні автоматичні вимикачі K, 1-3р, 63-125А, 6 кА</t>
  </si>
  <si>
    <t>p0430001</t>
  </si>
  <si>
    <t>Модульний автоматичний вимикач e.mcb.pro.60.1.K 63 new, 1р, 63А, K, 6кА new</t>
  </si>
  <si>
    <t>p0430002</t>
  </si>
  <si>
    <t>Модульний автоматичний вимикач e.mcb.pro.60.1.K 80 new, 1р, 80А, K, 6кА new</t>
  </si>
  <si>
    <t>p0430003</t>
  </si>
  <si>
    <t>Модульний автоматичний вимикач e.mcb.pro.60.1.K 100 new, 1р, 100А, K, 6кА new</t>
  </si>
  <si>
    <t>p0430004</t>
  </si>
  <si>
    <t>Модульний автоматичний вимикач e.mcb.pro.60.1.K 125 new, 1р, 125А, K, 6кА new</t>
  </si>
  <si>
    <t>p0430005</t>
  </si>
  <si>
    <t>Модульний автоматичний вимикач e.mcb.pro.60.3.K 63 new, 3р, 63А, K, 6кА new</t>
  </si>
  <si>
    <t>p0430006</t>
  </si>
  <si>
    <t>Модульний автоматичний вимикач e.mcb.pro.60.3.K 80 new, 3р, 80А, K, 6кА new</t>
  </si>
  <si>
    <t>p0430007</t>
  </si>
  <si>
    <t>Модульний автоматичний вимикач e.mcb.pro.60.3.K 100 new, 3р, 100А, K, 6кА new</t>
  </si>
  <si>
    <t>p0430008</t>
  </si>
  <si>
    <t>Модульний автоматичний вимикач e.mcb.pro.60.3.K 125 new, 3р, 125А, K, 6кА new</t>
  </si>
  <si>
    <t>5.Модульні автоматичні вимикачі D, 1-3р, 1-63А, 6кА</t>
  </si>
  <si>
    <t>p0710001</t>
  </si>
  <si>
    <t>Модульний автоматичний вимикач e.mcb.pro.60.1.D.1 , 1р, 1А, D, 6кА</t>
  </si>
  <si>
    <t>p0710002</t>
  </si>
  <si>
    <t>Модульний автоматичний вимикач e.mcb.pro.60.1.D.2 , 1р, 2А, D, 6кА</t>
  </si>
  <si>
    <t>p0710003</t>
  </si>
  <si>
    <t>Модульний автоматичний вимикач e.mcb.pro.60.1.D.3 , 1р, 3А, D, 6кА</t>
  </si>
  <si>
    <t>p0710004</t>
  </si>
  <si>
    <t>Модульний автоматичний вимикач e.mcb.pro.60.1.D.4 , 1р, 4А, D, 6кА</t>
  </si>
  <si>
    <t>p0710005</t>
  </si>
  <si>
    <t>Модульний автоматичний вимикач e.mcb.pro.60.1.D.5 , 1р, 5А, D, 6кА</t>
  </si>
  <si>
    <t>p0710006</t>
  </si>
  <si>
    <t>Модульний автоматичний вимикач e.mcb.pro.60.1.D.6 , 1р, 6А, D, 6кА</t>
  </si>
  <si>
    <t>p0710007</t>
  </si>
  <si>
    <t>Модульний автоматичний вимикач e.mcb.pro.60.1.D.10 , 1р, 10А, D, 6кА</t>
  </si>
  <si>
    <t>p0710008</t>
  </si>
  <si>
    <t>Модульний автоматичний вимикач e.mcb.pro.60.1.D.16 , 1р, 16А, D, 6кА</t>
  </si>
  <si>
    <t>p0710009</t>
  </si>
  <si>
    <t>Модульний автоматичний вимикач e.mcb.pro.60.1.D.25 , 1р, 25А, D, 6кА</t>
  </si>
  <si>
    <t>p0710020</t>
  </si>
  <si>
    <t>Модульний автоматичний вимикач e.mcb.pro.60.1.D.32 , 1р, 32А, D, 6кА</t>
  </si>
  <si>
    <t>p0710021</t>
  </si>
  <si>
    <t>Модульний автоматичний вимикач e.mcb.pro.60.1.D.40 , 1р, 40А, D, 6кА</t>
  </si>
  <si>
    <t>p0710022</t>
  </si>
  <si>
    <t>Модульний автоматичний вимикач e.mcb.pro.60.1.D.50 , 1р, 50А, D, 6кА</t>
  </si>
  <si>
    <t>p0710023</t>
  </si>
  <si>
    <t>Модульний автоматичний вимикач e.mcb.pro.60.1.D.63 , 1р, 63А, D, 6кА</t>
  </si>
  <si>
    <t>p0710010</t>
  </si>
  <si>
    <t>Модульний автоматичний вимикач e.mcb.pro.60.3.D.2 , 3р, 2А, D, 6кА</t>
  </si>
  <si>
    <t>p0710019</t>
  </si>
  <si>
    <t>Модульний автоматичний вимикач e.mcb.pro.60.3.D.6 , 3р, 6А, D, 6кА</t>
  </si>
  <si>
    <t>p0710011</t>
  </si>
  <si>
    <t>Модульний автоматичний вимикач e.mcb.pro.60.3.D.10 , 3р, 10А, D, 6кА</t>
  </si>
  <si>
    <t>p0710012</t>
  </si>
  <si>
    <t>Модульний автоматичний вимикач e.mcb.pro.60.3.D.16 , 3р, 16А, D, 6кА</t>
  </si>
  <si>
    <t>p0710013</t>
  </si>
  <si>
    <t>Модульний автоматичний вимикач e.mcb.pro.60.3.D.20 , 3р, 20А, D, 6кА</t>
  </si>
  <si>
    <t>p0710014</t>
  </si>
  <si>
    <t>Модульний автоматичний вимикач e.mcb.pro.60.3.D.25 , 3р, 25А, D, 6кА</t>
  </si>
  <si>
    <t>p0710015</t>
  </si>
  <si>
    <t>Модульний автоматичний вимикач e.mcb.pro.60.3.D.32 , 3р, 32А, D, 6кА</t>
  </si>
  <si>
    <t>p0710016</t>
  </si>
  <si>
    <t>Модульний автоматичний вимикач e.mcb.pro.60.3.D.40 , 3р, 40А, D, 6кА</t>
  </si>
  <si>
    <t>p0710017</t>
  </si>
  <si>
    <t>Модульний автоматичний вимикач e.mcb.pro.60.3.D.50 , 3р, 50А, D, 6кА</t>
  </si>
  <si>
    <t>p0710018</t>
  </si>
  <si>
    <t>Модульний автоматичний вимикач e.mcb.pro.60.3.D.63 , 3р, 63А, D, 6кА</t>
  </si>
  <si>
    <t>3.Модульні автоматичні вимикачі серії INDUSTRIAL</t>
  </si>
  <si>
    <t>1.Модульні автоматичні вимикачі С, 1-4р, 6-63А, 10кА</t>
  </si>
  <si>
    <t>i0180001</t>
  </si>
  <si>
    <t>Модульний автоматичний вимикач e.industrial.mcb.100.1.C6, 1 р, 6А, C,  10кА</t>
  </si>
  <si>
    <t>i0180002</t>
  </si>
  <si>
    <t>Модульний автоматичний вимикач e.industrial.mcb.100.1.C10, 1 р, 10А, C,  10кА</t>
  </si>
  <si>
    <t>i0180003</t>
  </si>
  <si>
    <t>Модульний автоматичний вимикач e.industrial.mcb.100.1.C16, 1 р, 16А, C,  10кА</t>
  </si>
  <si>
    <t>i0180004</t>
  </si>
  <si>
    <t>Модульний автоматичний вимикач e.industrial.mcb.100.1.C20, 1 р, 20А, C,  10кА</t>
  </si>
  <si>
    <t>i0180005</t>
  </si>
  <si>
    <t>Модульний автоматичний вимикач e.industrial.mcb.100.1.C25, 1 р, 25А, C,  10кА</t>
  </si>
  <si>
    <t>i0180006</t>
  </si>
  <si>
    <t>Модульний автоматичний вимикач e.industrial.mcb.100.1.C32, 1 р, 32А, C,  10кА</t>
  </si>
  <si>
    <t>i0180007</t>
  </si>
  <si>
    <t>Модульний автоматичний вимикач e.industrial.mcb.100.1.C40, 1 р, 40А, C,  10кА</t>
  </si>
  <si>
    <t>i0180008</t>
  </si>
  <si>
    <t>Модульний автоматичний вимикач e.industrial.mcb.100.1.C50, 1 р, 50А, C,  10кА</t>
  </si>
  <si>
    <t>i0180009</t>
  </si>
  <si>
    <t>Модульний автоматичний вимикач e.industrial.mcb.100.1.C63, 1 р, 63А, C,  10кА</t>
  </si>
  <si>
    <t>i0180010</t>
  </si>
  <si>
    <t>Модульний автоматичний вимикач e.industrial.mcb.100.2.C6, 2 р, 6А, C,  10кА</t>
  </si>
  <si>
    <t>i0180011</t>
  </si>
  <si>
    <t>Модульний автоматичний вимикач e.industrial.mcb.100.2.C10, 2 р, 10А, C, 10кА</t>
  </si>
  <si>
    <t>i0180012</t>
  </si>
  <si>
    <t>Модульний автоматичний вимикач e.industrial.mcb.100.2.C16, 2 р, 16А, C,  10кА</t>
  </si>
  <si>
    <t>i0180013</t>
  </si>
  <si>
    <t>Модульний автоматичний вимикач e.industrial.mcb.100.2.C20, 2 р, 20А, C,  10кА</t>
  </si>
  <si>
    <t>i0180014</t>
  </si>
  <si>
    <t>Модульний автоматичний вимикач e.industrial.mcb.100.2.C25, 2 р, 25А, C,  10кА</t>
  </si>
  <si>
    <t>i0180015</t>
  </si>
  <si>
    <t>Модульний автоматичний вимикач e.industrial.mcb.100.2.C32, 2 р, 32А, C,  10кА</t>
  </si>
  <si>
    <t>i0180016</t>
  </si>
  <si>
    <t>Модульний автоматичний вимикач e.industrial.mcb.100.2.C40, 2 р, 40А, C,  10кА</t>
  </si>
  <si>
    <t>i0180017</t>
  </si>
  <si>
    <t>Модульний автоматичний вимикач e.industrial.mcb.100.2.C50, 2 р, 50А, C,  10кА</t>
  </si>
  <si>
    <t>i0180018</t>
  </si>
  <si>
    <t>Модульний автоматичний вимикач e.industrial.mcb.100.2.C63, 2 р, 63А, C, 10кА</t>
  </si>
  <si>
    <t>i0180019</t>
  </si>
  <si>
    <t>Модульний автоматичний вимикач e.industrial.mcb.100.3.C6, 3 р, 6А, C,  10кА</t>
  </si>
  <si>
    <t>i0180020</t>
  </si>
  <si>
    <t>Модульний автоматичний вимикач e.industrial.mcb.100.3.C10, 3 р, 10А, C, 10кА</t>
  </si>
  <si>
    <t>i0180021</t>
  </si>
  <si>
    <t>Модульний автоматичний вимикач e.industrial.mcb.100.3.C16, 3 р, 16А, C,  10кА</t>
  </si>
  <si>
    <t>i0180022</t>
  </si>
  <si>
    <t>Модульний автоматичний вимикач e.industrial.mcb.100.3.C20, 3 р, 20А, C, 10кА</t>
  </si>
  <si>
    <t>i0180023</t>
  </si>
  <si>
    <t>Модульний автоматичний вимикач e.industrial.mcb.100.3.C25, 3 р, 25А, C, 10кА</t>
  </si>
  <si>
    <t>i0180024</t>
  </si>
  <si>
    <t>Модульний автоматичний вимикач e.industrial.mcb.100.3.C32, 3 р, 32А, C,  10кА</t>
  </si>
  <si>
    <t>i0180025</t>
  </si>
  <si>
    <t>Модульний автоматичний вимикач e.industrial.mcb.100.3.C40, 3 р, 40А, C, 10кА</t>
  </si>
  <si>
    <t>i0180026</t>
  </si>
  <si>
    <t>Модульний автоматичний вимикач e.industrial.mcb.100.3.C50, 3 р, 50А, C, 10кА</t>
  </si>
  <si>
    <t>i0180027</t>
  </si>
  <si>
    <t>Модульний автоматичний вимикач e.industrial.mcb.100.3.C63, 3 р, 63А, C, 10кА</t>
  </si>
  <si>
    <t>i0180028</t>
  </si>
  <si>
    <t>Модульний автоматичний вимикач e.industrial.mcb.100.4.C6, 4 р, 6А, C,  10кА</t>
  </si>
  <si>
    <t>i0180029</t>
  </si>
  <si>
    <t>Модульний автоматичний вимикач e.industrial.mcb.100.4.C10, 4 р, 10А, C, 10кА</t>
  </si>
  <si>
    <t>i0180030</t>
  </si>
  <si>
    <t>Модульний автоматичний вимикач e.industrial.mcb.100.4.C16, 4 р, 16А, C,  10кА</t>
  </si>
  <si>
    <t>i0180031</t>
  </si>
  <si>
    <t>Модульний автоматичний вимикач e.industrial.mcb.100.4.C20, 4 р, 20А, C,  10кА</t>
  </si>
  <si>
    <t>i0180032</t>
  </si>
  <si>
    <t>Модульний автоматичний вимикач e.industrial.mcb.100.4.C25, 4 р, 25А, C,  10кА</t>
  </si>
  <si>
    <t>i0180033</t>
  </si>
  <si>
    <t>Модульний автоматичний вимикач e.industrial.mcb.100.4.C32, 4 р, 32А, C,  10кА</t>
  </si>
  <si>
    <t>i0180034</t>
  </si>
  <si>
    <t>Модульний автоматичний вимикач e.industrial.mcb.100.4.C40, 4 р, 40А, C,  10кА</t>
  </si>
  <si>
    <t>i0180035</t>
  </si>
  <si>
    <t>Модульний автоматичний вимикач e.industrial.mcb.100.4.C50, 4 р, 50А, C, 10кА</t>
  </si>
  <si>
    <t>i0180036</t>
  </si>
  <si>
    <t>Модульний автоматичний вимикач e.industrial.mcb.100.4.C63, 4 р, 63А, C,  10кА</t>
  </si>
  <si>
    <t>2.Модульні автоматичні вимикачі С, 1-3р+N, 6-63А, 6-10кА</t>
  </si>
  <si>
    <t>i0170001</t>
  </si>
  <si>
    <t>Модульний автоматичний вимикач e.industrial.mcb.60.1N.C6.thin, 1+N р, 6А, C,  6кА</t>
  </si>
  <si>
    <t>i0170003</t>
  </si>
  <si>
    <t>Модульний автоматичний вимикач e.industrial.mcb.60.1N.C16.thin, 1+N р, 16А, C,  6кА</t>
  </si>
  <si>
    <t>i0170004</t>
  </si>
  <si>
    <t>Модульний автоматичний вимикач e.industrial.mcb.60.1N.C20.thin, 1+N р, 20А, C, 6кА</t>
  </si>
  <si>
    <t>i0170005</t>
  </si>
  <si>
    <t>Модульний автоматичний вимикач e.industrial.mcb.60.1N.C25.thin, 1+N р, 25А, C,  6кА</t>
  </si>
  <si>
    <t>i0170006</t>
  </si>
  <si>
    <t>Модульний автоматичний вимикач e.industrial.mcb.60.1N.C32.thin, 1+N р, 32А, C,  6кА</t>
  </si>
  <si>
    <t>i0190001</t>
  </si>
  <si>
    <t>Модульний автоматичний вимикач e.industrial.mcb.100.1N.C6, 1р+N, 6А, C, 10кА</t>
  </si>
  <si>
    <t>i0190002</t>
  </si>
  <si>
    <t>Модульний автоматичний вимикач e.industrial.mcb.100.1N.C10, 1р+N, 10А, C, 10кА</t>
  </si>
  <si>
    <t>i0190003</t>
  </si>
  <si>
    <t>Модульний автоматичний вимикач e.industrial.mcb.100.1N.C16, 1р+N, 16А, C, 10кА</t>
  </si>
  <si>
    <t>i0190004</t>
  </si>
  <si>
    <t>Модульний автоматичний вимикач e.industrial.mcb.100.1N.C20, 1р+N, 20А, C, 10кА</t>
  </si>
  <si>
    <t>i0190005</t>
  </si>
  <si>
    <t>Модульний автоматичний вимикач e.industrial.mcb.100.1N.C25, 1р+N, 25А, C, 10кА</t>
  </si>
  <si>
    <t>i0190006</t>
  </si>
  <si>
    <t>Модульний автоматичний вимикач e.industrial.mcb.100.1N.C32, 1р+N, 32А, C, 10кА</t>
  </si>
  <si>
    <t>i0190007</t>
  </si>
  <si>
    <t>Модульний автоматичний вимикач e.industrial.mcb.100.1N.C40, 1р+N, 40А, C, 10кА</t>
  </si>
  <si>
    <t>i0190008</t>
  </si>
  <si>
    <t>Модульний автоматичний вимикач e.industrial.mcb.100.1N.C50, 1р+N, 50А, C, 10кА</t>
  </si>
  <si>
    <t>i0190009</t>
  </si>
  <si>
    <t>Модульний автоматичний вимикач e.industrial.mcb.100.1N.C63, 1р+N, 63А, C, 10кА</t>
  </si>
  <si>
    <t>i0190010</t>
  </si>
  <si>
    <t>Модульний автоматичний вимикач e.industrial.mcb.100.3N.C6, 3р+N, 6А, C, 10кА</t>
  </si>
  <si>
    <t>i0190011</t>
  </si>
  <si>
    <t>Модульний автоматичний вимикач e.industrial.mcb.100.3N.C10, 3р+N, 10А, C, 10кА</t>
  </si>
  <si>
    <t>i0190013</t>
  </si>
  <si>
    <t>Модульний автоматичний вимикач e.industrial.mcb.100.3N.C20, 3р+N, 20А, C, 10кА</t>
  </si>
  <si>
    <t>i0190014</t>
  </si>
  <si>
    <t>Модульний автоматичний вимикач e.industrial.mcb.100.3N.C25, 3р+N, 25А, C, 10кА</t>
  </si>
  <si>
    <t>i0190015</t>
  </si>
  <si>
    <t>Модульний автоматичний вимикач e.industrial.mcb.100.3N.C32, 3р+N, 32А, C, 10кА</t>
  </si>
  <si>
    <t>i0190016</t>
  </si>
  <si>
    <t>Модульний автоматичний вимикач e.industrial.mcb.100.3N.C40, 3р+N, 40А, C, 10кА</t>
  </si>
  <si>
    <t>i0190017</t>
  </si>
  <si>
    <t>Модульний автоматичний вимикач e.industrial.mcb.100.3N.C50, 3р+N, 50А, C, 10кА</t>
  </si>
  <si>
    <t>i0190018</t>
  </si>
  <si>
    <t>Модульний автоматичний вимикач e.industrial.mcb.100.3N.C63, 3р+N, 63А, C, 10кА</t>
  </si>
  <si>
    <t>4.Модульні автоматичні вимикачі D, 3р+N, 6-40А, 10кА</t>
  </si>
  <si>
    <t>i0200001</t>
  </si>
  <si>
    <t>Модульний автоматичний вимикач e.industrial.mcb.100.3.D.6, 3р, 6А, D, 10кА</t>
  </si>
  <si>
    <t>i0200002</t>
  </si>
  <si>
    <t>Модульний автоматичний вимикач e.industrial.mcb.100.3.D.10, 3р, 10А, D, 10кА</t>
  </si>
  <si>
    <t>i0200003</t>
  </si>
  <si>
    <t>Модульний автоматичний вимикач e.industrial.mcb.100.3.D.16, 3р, 16А, D, 10кА</t>
  </si>
  <si>
    <t>i0200004</t>
  </si>
  <si>
    <t>Модульний автоматичний вимикач e.industrial.mcb.100.3.D.20, 3р, 20А, D, 10кА</t>
  </si>
  <si>
    <t>i0200005</t>
  </si>
  <si>
    <t>Модульний автоматичний вимикач e.industrial.mcb.100.3.D.25, 3р, 25А, D, 10кА</t>
  </si>
  <si>
    <t>i0200006</t>
  </si>
  <si>
    <t>Модульний автоматичний вимикач e.industrial.mcb.100.3.D.32, 3р, 32А, D, 10кА</t>
  </si>
  <si>
    <t>i0200007</t>
  </si>
  <si>
    <t>Модульний автоматичний вимикач e.industrial.mcb.100.3.D.40, 3р, 40А, D, 10кА</t>
  </si>
  <si>
    <t>i0200008</t>
  </si>
  <si>
    <t>Модульний автоматичний вимикач e.industrial.mcb.100.3.D.50, 3р, 50А, D, 10кА</t>
  </si>
  <si>
    <t>i0200009</t>
  </si>
  <si>
    <t>Модульний автоматичний вимикач e.industrial.mcb.100.3.D.63, 3р, 63А, D, 10кА</t>
  </si>
  <si>
    <t>i.0210001</t>
  </si>
  <si>
    <t>Модульний автоматичний вимикач e.industrial.mcb.100.3N.D6, 3р+N, 6А, D, 10кА</t>
  </si>
  <si>
    <t>i.0210002</t>
  </si>
  <si>
    <t>Модульний автоматичний вимикач e.industrial.mcb.100.3N.D10, 3р+N, 10А, D, 10кА</t>
  </si>
  <si>
    <t>i.0210003</t>
  </si>
  <si>
    <t>Модульний автоматичний вимикач e.industrial.mcb.100.3N.D16, 3р+N, 16А, D, 10кА</t>
  </si>
  <si>
    <t>i.0210004</t>
  </si>
  <si>
    <t>Модульний автоматичний вимикач e.industrial.mcb.100.3N.D20, 3р+N, 20А, D, 10кА</t>
  </si>
  <si>
    <t>i.0210005</t>
  </si>
  <si>
    <t>Модульний автоматичний вимикач e.industrial.mcb.100.3N.D25, 3р+N, 25А, D, 10кА</t>
  </si>
  <si>
    <t>i.0210006</t>
  </si>
  <si>
    <t>Модульний автоматичний вимикач e.industrial.mcb.100.3N.D32, 3р+N, 32А, D, 10кА</t>
  </si>
  <si>
    <t>i.0210007</t>
  </si>
  <si>
    <t>Модульний автоматичний вимикач e.industrial.mcb.100.3N.D40, 3р+N, 40А, D, 10кА</t>
  </si>
  <si>
    <t>5.Модульні автоматичні вимикачі C, 1-3р, 63-125А, 15кА</t>
  </si>
  <si>
    <t>i0630033</t>
  </si>
  <si>
    <t>Модульний автоматичний вимикач e.industrial.mcb.150.1.C50, 1р, 50А, C, 15кА</t>
  </si>
  <si>
    <t>i0630034</t>
  </si>
  <si>
    <t>Модульний автоматичний вимикач e.industrial.mcb.150.3.C63, 3р, 63А, C, 15кА</t>
  </si>
  <si>
    <t>i0630035</t>
  </si>
  <si>
    <t>Модульний автоматичний вимикач e.industrial.mcb.150.3.C80, 3р, 80А, C, 15кА</t>
  </si>
  <si>
    <t>i0630036</t>
  </si>
  <si>
    <t>Модульний автоматичний вимикач e.industrial.mcb.150.3.C100, 3р, 100A, C, 15кА</t>
  </si>
  <si>
    <t>i0630037</t>
  </si>
  <si>
    <t>Модульний автоматичний вимикач e.industrial.mcb.150.3.C125, 3р, 125А, C, 15кА</t>
  </si>
  <si>
    <t>7.Модульні автоматичні вимикачі D, 1-3р, 63-125А, 15кА</t>
  </si>
  <si>
    <t>i0630001</t>
  </si>
  <si>
    <t>Модульний автоматичний вимикач e.industrial.mcb.150.1.D63, 1р, 63А, D, 15кА</t>
  </si>
  <si>
    <t>i0630002</t>
  </si>
  <si>
    <t>Модульний автоматичний вимикач e.industrial.mcb.150.1.D80, 1р, 80А, D, 15кА</t>
  </si>
  <si>
    <t>i0630003</t>
  </si>
  <si>
    <t>Модульний автоматичний вимикач e.industrial.mcb.150.1.D100, 1р, 100А, D, 15кА</t>
  </si>
  <si>
    <t>i0630004</t>
  </si>
  <si>
    <t>Модульний автоматичний вимикач e.industrial.mcb.150.1.D125, 1р, 125А, D, 15кА</t>
  </si>
  <si>
    <t>i0630005</t>
  </si>
  <si>
    <t>Модульний автоматичний вимикач e.industrial.mcb.150.2.D63, 2р, 63А, D, 15кА</t>
  </si>
  <si>
    <t>i0630006</t>
  </si>
  <si>
    <t>Модульний автоматичний вимикач e.industrial.mcb.150.2.D80, 2р, 80А, D, 15кА</t>
  </si>
  <si>
    <t>i0630007</t>
  </si>
  <si>
    <t>Модульний автоматичний вимикач e.industrial.mcb.150.2.D100, 2р, 100А, D, 15кА</t>
  </si>
  <si>
    <t>i0630008</t>
  </si>
  <si>
    <t>Модульний автоматичний вимикач e.industrial.mcb.150.2.D125, 2р, 125А, D, 15кА</t>
  </si>
  <si>
    <t>i0630009</t>
  </si>
  <si>
    <t>Модульний автоматичний вимикач e.industrial.mcb.150.3.D63, 3р, 63А, D, 15кА</t>
  </si>
  <si>
    <t>i0630010</t>
  </si>
  <si>
    <t>Модульний автоматичний вимикач e.industrial.mcb.150.3.D80, 3р, 80А, D, 15кА</t>
  </si>
  <si>
    <t>i0630011</t>
  </si>
  <si>
    <t>Модульний автоматичний вимикач e.industrial.mcb.150.3.D100, 3р, 100А, D, 15кА</t>
  </si>
  <si>
    <t>i0630012</t>
  </si>
  <si>
    <t>Модульний автоматичний вимикач e.industrial.mcb.150.3.D125, 3р, 125А, D, 15кА</t>
  </si>
  <si>
    <t>4.Додаткове обладнання до автоматичних вимикачів серій PRO та STAND</t>
  </si>
  <si>
    <t>p042100</t>
  </si>
  <si>
    <t>Додатковий контакт e.mcb.aux</t>
  </si>
  <si>
    <t>p042106</t>
  </si>
  <si>
    <t>Додатковий контакт e.mcb.aux.md</t>
  </si>
  <si>
    <t>p042101</t>
  </si>
  <si>
    <t>Сигнальний додатковий контакт e.mcb.alt</t>
  </si>
  <si>
    <t>p042105</t>
  </si>
  <si>
    <t>Сигнальний додатковий контакт e.mcb.alt.md</t>
  </si>
  <si>
    <t>p042103</t>
  </si>
  <si>
    <t>Незалежний розчіплювач e.mcb.sht</t>
  </si>
  <si>
    <t>5.Додаткове обладнання до автоматичних вимикачів серії INDUSTRIAL</t>
  </si>
  <si>
    <t>i0250001</t>
  </si>
  <si>
    <t>Незалежний розчіплювач e.industrial.acs.za.230, 110-415В</t>
  </si>
  <si>
    <t>i0250002</t>
  </si>
  <si>
    <t>Незалежний розчіплювач e.industrial.acs.za.24, 12-110В</t>
  </si>
  <si>
    <t>i0240001</t>
  </si>
  <si>
    <t>Блок додаткових контактів e.industrial.acs.znh.20</t>
  </si>
  <si>
    <t>i0260001</t>
  </si>
  <si>
    <t>Розчіплювач мінімальної напруги e.industrial.acs.zu.230, 230В</t>
  </si>
  <si>
    <t>i0260002</t>
  </si>
  <si>
    <t>Розчіплювач мінімальної напруги e.industrial.acs.zu.400, 400В</t>
  </si>
  <si>
    <t>2.Вимикачі диференційного струму (ПЗВ) RCCB</t>
  </si>
  <si>
    <t>1.Вимикачі диференційного струму серії STAND тип АС</t>
  </si>
  <si>
    <t>s034006</t>
  </si>
  <si>
    <t>Вимикач диференціального струму e.rccb.stand.2.16.10 2р, 16А, 10mA</t>
  </si>
  <si>
    <t>s034007</t>
  </si>
  <si>
    <t>Вимикач диференціального струму e.rccb.stand.2.25.10 2р, 25А, 10mA</t>
  </si>
  <si>
    <t>s034008</t>
  </si>
  <si>
    <t>Вимикач диференціального струму e.rccb.stand.2.40.10 2р, 40А, 10mA</t>
  </si>
  <si>
    <t>s034009</t>
  </si>
  <si>
    <t>Вимикач диференціального струму e.rccb.stand.4.25.10 4р, 25А, 10mA</t>
  </si>
  <si>
    <t>s034010</t>
  </si>
  <si>
    <t>Вимикач диференціального струму e.rccb.stand.4.40.10 4р, 40А, 10mA</t>
  </si>
  <si>
    <t>s034011</t>
  </si>
  <si>
    <t>Вимикач диференціального струму e.rccb.stand.2.16.30 2р, 16А, 30mA</t>
  </si>
  <si>
    <t>s034001</t>
  </si>
  <si>
    <t>Вимикач диференціального струму e.rccb.stand.2.25.30 2р, 25А, 30mA</t>
  </si>
  <si>
    <t>s034002</t>
  </si>
  <si>
    <t>Вимикач диференціального струму e.rccb.stand.2.40.30 2р, 40А, 30mA</t>
  </si>
  <si>
    <t>s034003</t>
  </si>
  <si>
    <t>Вимикач диференціального струму e.rccb.stand.4.25.30 4р, 25А, 30mA</t>
  </si>
  <si>
    <t>s034004</t>
  </si>
  <si>
    <t>Вимикач диференціального струму e.rccb.stand.4.40.30 4р, 40А, 30mA</t>
  </si>
  <si>
    <t>s034005</t>
  </si>
  <si>
    <t>Вимикач диференціального струму e.rccb.stand.4.63.30 4р, 63А, 30mA</t>
  </si>
  <si>
    <t>2.Вимикачі диференційного струму серії PRO тип АС</t>
  </si>
  <si>
    <t>p003001</t>
  </si>
  <si>
    <t>Вимикач диференціального струму e.rccb.pro.2.16.10, 2р, 16А, 10мА</t>
  </si>
  <si>
    <t>p003002</t>
  </si>
  <si>
    <t>Вимикач диференціального струму e.rccb.pro.2.25.10, 2р, 25А, 10мА</t>
  </si>
  <si>
    <t>p003003</t>
  </si>
  <si>
    <t>Вимикач диференціального струму e.rccb.pro.2.16.30, 2р, 16А, 30мА</t>
  </si>
  <si>
    <t>p003004</t>
  </si>
  <si>
    <t>Вимикач диференціального струму e.rccb.pro.2.25.30, 2р, 25А, 30мА</t>
  </si>
  <si>
    <t>p003005</t>
  </si>
  <si>
    <t>Вимикач диференціального струму e.rccb.pro.2.40.30, 2р, 40А, 30мА</t>
  </si>
  <si>
    <t>p003006</t>
  </si>
  <si>
    <t>Вимикач диференціального струму e.rccb.pro.2.63.30, 2р, 63А, 30мА</t>
  </si>
  <si>
    <t>p003007</t>
  </si>
  <si>
    <t>Вимикач диференціального струму e.rccb.pro.2.80.30, 2р, 80А, 30мА</t>
  </si>
  <si>
    <t>p003018</t>
  </si>
  <si>
    <t>Вимикач диференціального струму e.rccb.pro.4.25.30, 4р, 25А, 30мА</t>
  </si>
  <si>
    <t>p003019</t>
  </si>
  <si>
    <t>Вимикач диференціального струму e.rccb.pro.4.40.30, 4р, 40А, 30мА</t>
  </si>
  <si>
    <t>p003020</t>
  </si>
  <si>
    <t>Вимикач диференціального струму e.rccb.pro.4.63.30, 4р, 63А, 30мА</t>
  </si>
  <si>
    <t>p003021</t>
  </si>
  <si>
    <t>Вимикач диференціального струму e.rccb.pro.4.80.30, 4р, 80А, 30мА</t>
  </si>
  <si>
    <t>p003032</t>
  </si>
  <si>
    <t>Вимикач диференціального струму e.rccb.pro.4.100.30, 4р, 100А, 30мА</t>
  </si>
  <si>
    <t>p003008</t>
  </si>
  <si>
    <t>Вимикач диференціального струму e.rccb.pro.2.25.100, 2р, 25А, 100мА</t>
  </si>
  <si>
    <t>p003009</t>
  </si>
  <si>
    <t>Вимикач диференціального струму e.rccb.pro.2.40.100, 2р, 40А, 100мА</t>
  </si>
  <si>
    <t>p003010</t>
  </si>
  <si>
    <t>Вимикач диференціального струму e.rccb.pro.2.63.100, 2р, 63А, 100мА</t>
  </si>
  <si>
    <t>p003011</t>
  </si>
  <si>
    <t>Вимикач диференціального струму e.rccb.pro.2.80.100, 2р, 80А, 100мА</t>
  </si>
  <si>
    <t>p003012</t>
  </si>
  <si>
    <t>Вимикач диференціального струму e.rccb.pro.2.100.100, 2р, 100А, 100мА</t>
  </si>
  <si>
    <t>p003022</t>
  </si>
  <si>
    <t>Вимикач диференціального струму e.rccb.pro.4.25.100, 4р, 25А, 100мА</t>
  </si>
  <si>
    <t>p003023</t>
  </si>
  <si>
    <t>Вимикач диференціального струму e.rccb.pro.4.40.100, 4р, 40А, 100мА</t>
  </si>
  <si>
    <t>p003024</t>
  </si>
  <si>
    <t>Вимикач диференціального струму e.rccb.pro.4.63.100, 4р, 63А, 100мА</t>
  </si>
  <si>
    <t>p003025</t>
  </si>
  <si>
    <t>Вимикач диференціального струму e.rccb.pro.4.80.100, 4р, 80А, 100mА</t>
  </si>
  <si>
    <t>p003026</t>
  </si>
  <si>
    <t>Вимикач диференціального струму e.rccb.pro.4.100.100, 4р, 100А, 100мА</t>
  </si>
  <si>
    <t>p003013</t>
  </si>
  <si>
    <t>Вимикач диференціального струму e.rccb.pro.2.25.300, 2р, 25А, 300мА</t>
  </si>
  <si>
    <t>p003014</t>
  </si>
  <si>
    <t>Вимикач диференціального струму e.rccb.pro.2.40.300, 2р, 40А, 300мА</t>
  </si>
  <si>
    <t>p003015</t>
  </si>
  <si>
    <t>Вимикач диференціального струму e.rccb.pro.2.63.300, 2р, 63А, 300мА</t>
  </si>
  <si>
    <t>p003016</t>
  </si>
  <si>
    <t>Вимикач диференціального струму e.rccb.pro.2.80.300, 2р, 80А, 300мА</t>
  </si>
  <si>
    <t>p003017</t>
  </si>
  <si>
    <t>Вимикач диференціального струму e.rccb.pro.2.100.300, 2р, 100А, 300мА</t>
  </si>
  <si>
    <t>p003027</t>
  </si>
  <si>
    <t>Вимикач диференціального струму e.rccb.pro.4.25.300, 4р, 25А, 300мА</t>
  </si>
  <si>
    <t>p003028</t>
  </si>
  <si>
    <t>Вимикач диференціального струму e.rccb.pro.4.40.300, 4р, 40А, 300мА</t>
  </si>
  <si>
    <t>p003029</t>
  </si>
  <si>
    <t>Вимикач диференціального струму e.rccb.pro.4.63.300, 4р, 63А, 300мА</t>
  </si>
  <si>
    <t>p003030</t>
  </si>
  <si>
    <t>Вимикач диференціального струму e.rccb.pro.4.80.300, 4р, 80А, 300mА</t>
  </si>
  <si>
    <t>p003031</t>
  </si>
  <si>
    <t>Вимикач диференціального струму e.rccb.pro.4.100.300, 4р, 100А, 300мА</t>
  </si>
  <si>
    <t>3.Вимикачі диференційного струму серії PRO тип А</t>
  </si>
  <si>
    <t>p080001</t>
  </si>
  <si>
    <t>Вимикач диференціального струму e.rccb.pro.A.2.16.30, 2р, 16А, 30мА, тип А</t>
  </si>
  <si>
    <t>p080002</t>
  </si>
  <si>
    <t>Вимикач диференціального струму e.rccb.pro.A.2.25.30, 2р, 25А, 30мА, тип А</t>
  </si>
  <si>
    <t>p080003</t>
  </si>
  <si>
    <t>Вимикач диференціального струму e.rccb.pro.A.2.40.30, 2р, 40А, 30мА, тип А</t>
  </si>
  <si>
    <t>p080004</t>
  </si>
  <si>
    <t>Вимикач диференціального струму e.rccb.pro.A.4.40.30, 4р, 40А, 30мА, тип А</t>
  </si>
  <si>
    <t>4.Вимикачі диференційного струму серії INDUSTRIAL тип АС</t>
  </si>
  <si>
    <t>i0220006</t>
  </si>
  <si>
    <t>Вимикач диференціального струму e.industrial.rccb.4.40.10, 4р, 40А, 10мА</t>
  </si>
  <si>
    <t>i0220010</t>
  </si>
  <si>
    <t>Вимикач диференціального струму e.industrial.rccb.2.16.30, 2р, 16А, 30мА</t>
  </si>
  <si>
    <t>i0220001</t>
  </si>
  <si>
    <t>Вимикач диференціального струму e.industrial.rccb.2.25.30, 2р, 25А, 30мА</t>
  </si>
  <si>
    <t>i0220002</t>
  </si>
  <si>
    <t>Вимикач диференціального струму e.industrial.rccb.2.40.30, 2р, 40А, 30мА</t>
  </si>
  <si>
    <t>i0220003</t>
  </si>
  <si>
    <t>Вимикач диференціального струму e.industrial.rccb.2.63.30, 2р, 63А, 30мА</t>
  </si>
  <si>
    <t>i0220004</t>
  </si>
  <si>
    <t>Вимикач диференціального струму e.industrial.rccb.4.25.30, 4р, 25А, 30мА</t>
  </si>
  <si>
    <t>i0220007</t>
  </si>
  <si>
    <t>Вимикач диференціального струму e.industrial.rccb.4.63.30, 4р, 63А, 30мА</t>
  </si>
  <si>
    <t>i0220005</t>
  </si>
  <si>
    <t>Вимикач диференціального струму e.industrial.rccb.4.25.100, 4р, 25А, 100мА</t>
  </si>
  <si>
    <t>i0220009</t>
  </si>
  <si>
    <t>Вимикач диференціального струму e.industrial.rccb.4.40.100, 4р, 40А, 100мА</t>
  </si>
  <si>
    <t>i0220008</t>
  </si>
  <si>
    <t>Вимикач диференціального струму e.industrial.rccb.4.63.100, 4р, 63А, 100мА</t>
  </si>
  <si>
    <t>i0220011</t>
  </si>
  <si>
    <t>Вимикач диференціального струму e.industrial.rccb.4.40.300, 4р, 40А, 300мА</t>
  </si>
  <si>
    <t>i0220012</t>
  </si>
  <si>
    <t>Вимикач диференціального струму e.industrial.rccb.4.63.300, 4р, 63А, 300мА</t>
  </si>
  <si>
    <t>3.Вимикачі диференційного струму з захистом від надструмів ELCB, RCBO</t>
  </si>
  <si>
    <t>1.Вимикачі диференційного струму (дифавтомати) серії STAND тип АС з розд. рук.</t>
  </si>
  <si>
    <t>p0620005</t>
  </si>
  <si>
    <t>Вимикач диференційного струму (дифавтомат) e.elcb.stand.2.C10.30, 2р, 10А, C, 30мА з розділеною рукояткою</t>
  </si>
  <si>
    <t>p0620006</t>
  </si>
  <si>
    <t>Вимикач диференційного струму (дифавтомат) e.elcb.stand.2.C16.30, 2р, 16А, C, 30мА з розділеною рукояткою</t>
  </si>
  <si>
    <t>p0620007</t>
  </si>
  <si>
    <t>Вимикач диференційного струму (дифавтомат) e.elcb.stand.2.C25.30, 2р, 25А, C, 30мА з розділеною рукояткою</t>
  </si>
  <si>
    <t>p0620008</t>
  </si>
  <si>
    <t>Вимикач диференційного струму (дифавтомат) e.elcb.stand.2.C32.30, 2р, 32А, C, 30мА з розділеною рукояткою</t>
  </si>
  <si>
    <t>2.Вимикачі диференційного струму (дифавтомати) серії PRO тип АС з розд. рук.</t>
  </si>
  <si>
    <t>p0620001</t>
  </si>
  <si>
    <t>Вимикач диференційного струму (дифавтомат) e.elcb.pro.2.C10.30, 2р, 10А, C, 30мА з розділеною рукояткою</t>
  </si>
  <si>
    <t>p0620002</t>
  </si>
  <si>
    <t>Вимикач диференційного струму (дифавтомат) e.elcb.pro.2.C16.30, 2р, 16А, C, 30мА з розділеною рукояткою</t>
  </si>
  <si>
    <t>p0620003</t>
  </si>
  <si>
    <t>Вимикач диференційного струму (дифавтомат) e.elcb.pro.2.C25.30, 2р, 25А, C, 30мА з розділеною рукояткою</t>
  </si>
  <si>
    <t>p0620004</t>
  </si>
  <si>
    <t>Вимикач диференційного струму (дифавтомат) e.elcb.pro.2.C32.30, 2р, 32А, C, 30мА з розділеною рукояткою</t>
  </si>
  <si>
    <t>3.Вимикачі диференційного струму (дифавтомати) серії PRO тип А</t>
  </si>
  <si>
    <t>p0720001</t>
  </si>
  <si>
    <t>Вимикач диференційного струму з захистом від надструмів e.rcbo.pro.2.C06.10, 1P+N, 6А, С, тип А, 10мА</t>
  </si>
  <si>
    <t>p0720002</t>
  </si>
  <si>
    <t>Вимикач диференційного струму з захистом від надструмів e.rcbo.pro.2.C10.10, 1P+N, 10А, С, тип А, 10мА</t>
  </si>
  <si>
    <t>p0720003</t>
  </si>
  <si>
    <t>Вимикач диференційного струму з захистом від надструмів e.rcbo.pro.2.C16.10, 1P+N, 16А, С, тип А, 10мА</t>
  </si>
  <si>
    <t>p0720004</t>
  </si>
  <si>
    <t>Вимикач диференційного струму з захистом від надструмів e.rcbo.pro.2.B06.30, 1P+N, 6А, В, тип А, 30мА</t>
  </si>
  <si>
    <t>p0720005</t>
  </si>
  <si>
    <t>Вимикач диференційного струму з захистом від надструмів e.rcbo.pro.2.B10.30, 1P+N, 10А, В, тип А, 30мА</t>
  </si>
  <si>
    <t>p0720006</t>
  </si>
  <si>
    <t>Вимикач диференційного струму з захистом від надструмів e.rcbo.pro.2.B16.30, 1P+N, 16А, В, тип А, 30мА</t>
  </si>
  <si>
    <t>p0720007</t>
  </si>
  <si>
    <t>Вимикач диференційного струму з захистом від надструмів e.rcbo.pro.2.C06.30, 1P+N, 6А, С, тип А, 30мА</t>
  </si>
  <si>
    <t>p0720008</t>
  </si>
  <si>
    <t>Вимикач диференційного струму з захистом від надструмів e.rcbo.pro.2.C10.30, 1P+N, 10А, С, тип А, 30мА</t>
  </si>
  <si>
    <t>p0720009</t>
  </si>
  <si>
    <t>Вимикач диференційного струму з захистом від надструмів e.rcbo.pro.2.C16.30, 1P+N, 16А, С, тип А, 30мА</t>
  </si>
  <si>
    <t>p0720010</t>
  </si>
  <si>
    <t>Вимикач диференційного струму з захистом від надструмів e.rcbo.pro.2.C25.30, 1P+N, 25А, С, тип А, 30мА</t>
  </si>
  <si>
    <t>p0720011</t>
  </si>
  <si>
    <t>Вимикач диференційного струму з захистом від надструмів e.rcbo.pro.2.C32.30, 1P+N, 32А, С, тип А, 30мА</t>
  </si>
  <si>
    <t>p0720012</t>
  </si>
  <si>
    <t>Вимикач диференційного струму з захистом від надструмів e.rcbo.pro.2.C40.30, 1P+N, 40А, С, тип А, 30мА</t>
  </si>
  <si>
    <t>p0720013</t>
  </si>
  <si>
    <t>Вимикач диференційного струму з захистом від надструмів e.rcbo.pro.2.C50.30, 1P+N, 50А, С, тип А, 30мА</t>
  </si>
  <si>
    <t>p0720014</t>
  </si>
  <si>
    <t>Вимикач диференційного струму з захистом від надструмів e.rcbo.pro.2.C63.30, 1P+N, 63А, С, тип А, 30мА</t>
  </si>
  <si>
    <t>p0720015</t>
  </si>
  <si>
    <t>Вимикач диференційного струму з захистом від надструмів e.rcbo.pro.4.C16.30, 3P+N, 16А, С, тип А, 30мА</t>
  </si>
  <si>
    <t>p0720016</t>
  </si>
  <si>
    <t>Вимикач диференційного струму з захистом від надструмів e.rcbo.pro.4.C25.30, 3P+N, 25А, С, тип А, 30мА</t>
  </si>
  <si>
    <t>p0720017</t>
  </si>
  <si>
    <t>Вимикач диференційного струму з захистом від надструмів e.rcbo.pro.4.C32.30, 3P+N, 32А, С, тип А, 30мА</t>
  </si>
  <si>
    <t>p0720018</t>
  </si>
  <si>
    <t>Вимикач диференційного струму з захистом від надструмів e.rcbo.pro.4.C40.30, 3P+N, 40А, С, тип А, 30мА</t>
  </si>
  <si>
    <t>p0720019</t>
  </si>
  <si>
    <t>Вимикач диференційного струму з захистом від надструмів e.rcbo.pro.4.C50.30, 3P+N, 50А, С, тип А, 30мА</t>
  </si>
  <si>
    <t>p0720020</t>
  </si>
  <si>
    <t>Вимикач диференційного струму з захистом від надструмів e.rcbo.pro.4.C63.30, 3P+N, 63А, С, тип А, 30мА</t>
  </si>
  <si>
    <t>p0720021</t>
  </si>
  <si>
    <t>Вимикач диференційного струму з захистом від надструмів e.rcbo.pro.4.C16.100, 3P+N, 16А, С, тип А, 100мА</t>
  </si>
  <si>
    <t>p0720022</t>
  </si>
  <si>
    <t>Вимикач диференційного струму з захистом від надструмів e.rcbo.pro.4.C25.100, 3P+N, 25А, С, тип А, 100мА</t>
  </si>
  <si>
    <t>p0720023</t>
  </si>
  <si>
    <t>Вимикач диференційного струму з захистом від надструмів e.rcbo.pro.4.C32.100, 3P+N, 32А, С, тип А, 100мА</t>
  </si>
  <si>
    <t>p0720024</t>
  </si>
  <si>
    <t>Вимикач диференційного струму з захистом від надструмів e.rcbo.pro.4.C40.100, 3P+N, 40А, С, тип А, 100мА</t>
  </si>
  <si>
    <t>p0720025</t>
  </si>
  <si>
    <t>Вимикач диференційного струму з захистом від надструмів e.rcbo.pro.4.C50.100, 3P+N, 50А, С, тип А, 100мА</t>
  </si>
  <si>
    <t>p0720026</t>
  </si>
  <si>
    <t>Вимикач диференційного струму з захистом від надструмів e.rcbo.pro.4.C63.100, 3P+N, 63А, С, тип А, 100мА</t>
  </si>
  <si>
    <t>4.Вимикачі диференційного струму (дифавтомати) серії INDUSTRIAL тип АС</t>
  </si>
  <si>
    <t>i0230001</t>
  </si>
  <si>
    <t>Вимикач диференціального струму (дифавтомат) e.industrial.elcb.2.C06.30, 2р, 06А, C, 30мА</t>
  </si>
  <si>
    <t>i0230002</t>
  </si>
  <si>
    <t>Вимикач диференціального струму (дифавтомат) e.industrial.elcb.2.C10.30, 2р, 10А, С, 30мА</t>
  </si>
  <si>
    <t>i0230003</t>
  </si>
  <si>
    <t>Вимикач диференціального струму (дифавтомат) e.industrial.elcb.2.C16.30, 2р, 16А, С, 30мА</t>
  </si>
  <si>
    <t>i0230004</t>
  </si>
  <si>
    <t>Вимикач диференціального струму (дифавтомат) e.industrial.elcb.2.C20.30, 2р, 20А, С, 30мА</t>
  </si>
  <si>
    <t>i0230005</t>
  </si>
  <si>
    <t>Вимикач диференціального струму (дифавтомат) e.industrial.elcb.2.C25.30, 2р, 25А, С, 30мА</t>
  </si>
  <si>
    <t>i0230006</t>
  </si>
  <si>
    <t>Вимикач диференціального струму (дифавтомат) e.industrial.elcb.2.C32.30, 2р, 32А, С, 30мА</t>
  </si>
  <si>
    <t>i0230007</t>
  </si>
  <si>
    <t>Вимикач диференціального струму (дифавтомат) e.industrial.elcb.2.C06.300, 2р, 6А, С, 300мА</t>
  </si>
  <si>
    <t>i0230008</t>
  </si>
  <si>
    <t>Вимикач диференціального струму (дифавтомат) e.industrial.elcb.2.C10.300, 2р, 10А, С, 300мА</t>
  </si>
  <si>
    <t>i0230009</t>
  </si>
  <si>
    <t>Вимикач диференціального струму (дифавтомат) e.industrial.elcb.2.C16.300, 2р, 16А, С, 300мА</t>
  </si>
  <si>
    <t>i0230010</t>
  </si>
  <si>
    <t>Вимикач диференціального струму (дифавтомат) e.industrial.elcb.2.C20.300, 2р, 20А, С, 300мА</t>
  </si>
  <si>
    <t>i0230011</t>
  </si>
  <si>
    <t>Вимикач диференціального струму (дифавтомат) e.industrial.elcb.2.C25.300, 2р, 25А, С, 300мА</t>
  </si>
  <si>
    <t>i0230012</t>
  </si>
  <si>
    <t>Вимикач диференціального струму (дифавтомат) e.industrial.elcb.2.C32.300, 2р, 32А, С, 300мА</t>
  </si>
  <si>
    <t>4.Запобіжники, утримувачі FUSE</t>
  </si>
  <si>
    <t>1.Запобіжники FUSE</t>
  </si>
  <si>
    <t>i0610011</t>
  </si>
  <si>
    <t>Запобіжник e.fuse.1038.2, типорозмір 10х38, 2 А</t>
  </si>
  <si>
    <t>i0610012</t>
  </si>
  <si>
    <t>Запобіжник e.fuse.1038.4, типорозмір 10х38, 4А</t>
  </si>
  <si>
    <t>i0610013</t>
  </si>
  <si>
    <t>Запобіжник e.fuse.1038.6, типорозмір 10х38, 6А</t>
  </si>
  <si>
    <t>i0610014</t>
  </si>
  <si>
    <t>Запобіжник e.fuse.1038.8, типорозмір 10х38, 8А</t>
  </si>
  <si>
    <t>i0610015</t>
  </si>
  <si>
    <t>Запобіжник e.fuse.1038.10, типорозмір 10х38, 10А</t>
  </si>
  <si>
    <t>i0610016</t>
  </si>
  <si>
    <t>Запобіжник e.fuse.1038.13, типорозмір 10х38, 13А</t>
  </si>
  <si>
    <t>i0610017</t>
  </si>
  <si>
    <t>Запобіжник e.fuse.1038.16, типорозмір 10х38, 16А</t>
  </si>
  <si>
    <t>i0610018</t>
  </si>
  <si>
    <t>Запобіжник e.fuse.1038.20, типорозмір 10х38, 20А</t>
  </si>
  <si>
    <t>i0610019</t>
  </si>
  <si>
    <t>Запобіжник e.fuse.1038.25, типорозмір 10х38, 25А</t>
  </si>
  <si>
    <t>i0610021</t>
  </si>
  <si>
    <t>Запобіжник e.fuse.1038.32, типорозмір 10х38, 32А</t>
  </si>
  <si>
    <t>i0610020</t>
  </si>
  <si>
    <t>Запобіжник e.fuse.1451.25, типорозмір 14х51, 25А</t>
  </si>
  <si>
    <t>i0610022</t>
  </si>
  <si>
    <t>Запобіжник e.fuse.1451.32, типорозмір 14х51, 32А</t>
  </si>
  <si>
    <t>i0610023</t>
  </si>
  <si>
    <t>Запобіжник e.fuse.1451.40, типорозмір 14х51, 40А</t>
  </si>
  <si>
    <t>i0610024</t>
  </si>
  <si>
    <t>Запобіжник e.fuse.1451.50, типорозмір 14х51, 50А</t>
  </si>
  <si>
    <t>i0610025</t>
  </si>
  <si>
    <t>Запобіжник e.fuse.1451.63, типорозмір 14х51, 63А</t>
  </si>
  <si>
    <t>2.Утримувачі запобіжників FUSE</t>
  </si>
  <si>
    <t>i0300001</t>
  </si>
  <si>
    <t>Утримувач запобіжника на Дін-рейку e.fuse.1038.h1, під запобіжник 10х38, 1р, 32А</t>
  </si>
  <si>
    <t>i0300002</t>
  </si>
  <si>
    <t>Утримувач запобіжника на Дін-рейку e.fuse.1038.h2, під запобіжник 10х38, 2р, 32А</t>
  </si>
  <si>
    <t>i0300003</t>
  </si>
  <si>
    <t>Утримувач запобіжника на Дін-рейку e.fuse.1038.h3, під запобіжник 10х38, 3р, 32А</t>
  </si>
  <si>
    <t>i0300004</t>
  </si>
  <si>
    <t>Утримувач запобіжника на Дін-рейку e.fuse.1451.h1, під запобіжник 14х51, 1р, 63А</t>
  </si>
  <si>
    <t>i0300005</t>
  </si>
  <si>
    <t>Утримувач запобіжника на Дін-рейку e.fuse.1451.h2, під запобіжник 14х51, 2р, 63А</t>
  </si>
  <si>
    <t>i0300006</t>
  </si>
  <si>
    <t>Утримувач запобіжника на Дін-рейку e.fuse.1451.h3, під запобіжник 14х51, 3р, 63А</t>
  </si>
  <si>
    <t>i.0300001</t>
  </si>
  <si>
    <t>Утримувач запобіжника e.industrial.rt.1832.1p, 1р, 32А</t>
  </si>
  <si>
    <t>i.0300002</t>
  </si>
  <si>
    <t>Утримувач запобіжника e.industrial.rt.1832.2p, 2р, 32А</t>
  </si>
  <si>
    <t>i.0300003</t>
  </si>
  <si>
    <t>Утримувач запобіжника e.industrial.rt.1832.3p, 3р, 32А</t>
  </si>
  <si>
    <t>5.Вимикачі навантаження IS</t>
  </si>
  <si>
    <t>p008007</t>
  </si>
  <si>
    <t>Вимикач навантаження на DIN-рейку e.is.1.50, 1р, 50А</t>
  </si>
  <si>
    <t>p008008</t>
  </si>
  <si>
    <t>Вимикач навантаження на DIN-рейку e.is.1.125, 1р, 125А</t>
  </si>
  <si>
    <t>p008011</t>
  </si>
  <si>
    <t>Вимикач навантаження на DIN-рейку e.is.2.63, 2р, 63А</t>
  </si>
  <si>
    <t>p008012</t>
  </si>
  <si>
    <t>Вимикач навантаження на DIN-рейку e.is.2.125, 2р, 125А</t>
  </si>
  <si>
    <t>p008009</t>
  </si>
  <si>
    <t>Вимикач навантаження на DIN-рейку e.is.3.50, 3р, 50А</t>
  </si>
  <si>
    <t>p008010</t>
  </si>
  <si>
    <t>Вимикач навантаження на DIN-рейку e.is.3.125, 3р, 125А</t>
  </si>
  <si>
    <t>p008013</t>
  </si>
  <si>
    <t>Вимикач на DIN-рейку на три положення e.is3.pro.1.63, 1р, 63А</t>
  </si>
  <si>
    <t>p008014</t>
  </si>
  <si>
    <t>Вимикач на DIN-рейку на три положення e.is3.pro.2.63, 2р, 63А</t>
  </si>
  <si>
    <t>p008015</t>
  </si>
  <si>
    <t>Вимикач на DIN-рейку на три положення e.is3.pro.3.63, 3р, 63А</t>
  </si>
  <si>
    <t>p008016</t>
  </si>
  <si>
    <t>Вимикач на DIN-рейку на три положення e.is3.pro.4.63, 4р, 63А</t>
  </si>
  <si>
    <t>6.Контактори модульні MC</t>
  </si>
  <si>
    <t>p005017</t>
  </si>
  <si>
    <t>Модульний контактор e.mc.220.2.20.2NO, 2р, 20А, 2NO, 220В</t>
  </si>
  <si>
    <t>p005020</t>
  </si>
  <si>
    <t>Модульний контактор e.mc.220.2.25.1NO+1NC, 2р, 25А, 1NO+1NC, 220В</t>
  </si>
  <si>
    <t>p005025</t>
  </si>
  <si>
    <t>Модульний контактор e.mc.220.2.25.2NC, 2р, 25А, 2NC, 220В</t>
  </si>
  <si>
    <t>p005001</t>
  </si>
  <si>
    <t>Модульний контактор e.mc.220.2.25.2NO, 2р, 25А, 2NO, 220В</t>
  </si>
  <si>
    <t>p005003</t>
  </si>
  <si>
    <t>Модульний контактор e.mc.220.2.40.2NO, 2р, 40А, 2NO, 220В</t>
  </si>
  <si>
    <t>p005018</t>
  </si>
  <si>
    <t>Модульний контактор e.mc.220.2.63.2NO, 2р, 63А, 2NO, 220В</t>
  </si>
  <si>
    <t>p005019</t>
  </si>
  <si>
    <t>Модульний контактор e.mc.220.4.20.4NO, 4р, 20А, 4NO, 220В</t>
  </si>
  <si>
    <t>p005022</t>
  </si>
  <si>
    <t>Модульний контактор e.mc.220.4.25.2NO+2NC, 4р, 25А, 2NO+2NC, 220В</t>
  </si>
  <si>
    <t>p005021</t>
  </si>
  <si>
    <t>Модульний контактор e.mc.220.4.25.3NO+1NC, 4р, 25А, 3NO+1NC, 220В</t>
  </si>
  <si>
    <t>p005024</t>
  </si>
  <si>
    <t>Модульний контактор e.mc.220.4.25.4NC, 4р, 25А, 4NC, 220В</t>
  </si>
  <si>
    <t>p005005</t>
  </si>
  <si>
    <t>Модульний контактор e.mc.220.4.25.4NO, 4р, 25А, 4NO, 220В</t>
  </si>
  <si>
    <t>p005007</t>
  </si>
  <si>
    <t>Модульний контактор e.mc.220.4.40.4NO, 4р, 40А, 4NO, 220В</t>
  </si>
  <si>
    <t>p005009</t>
  </si>
  <si>
    <t>Модульний контактор e.mc.220.4.63.4NO, 4р, 63А, 4NO, 220В</t>
  </si>
  <si>
    <t>p005023</t>
  </si>
  <si>
    <t>Модульний контактор e.mc.220.4.100.4NO, 4р, 100А, 4NO, 220В</t>
  </si>
  <si>
    <t>p005101</t>
  </si>
  <si>
    <t>Додатковий контакт e.mc.aux</t>
  </si>
  <si>
    <t>7.Розетки на DIN-рейку SOCKET</t>
  </si>
  <si>
    <t>s004002</t>
  </si>
  <si>
    <t>Розетка на DIN-рейку e.socket.pro.din.tms, 230 В, з з/к</t>
  </si>
  <si>
    <t>s004001</t>
  </si>
  <si>
    <t>Розетка на DIN-рейку e.socket.stand.din, 230 В</t>
  </si>
  <si>
    <t>8.Індикатори на DIN-рейку I</t>
  </si>
  <si>
    <t>p059003</t>
  </si>
  <si>
    <t>Індикатор на DIN-рейку e.i.din.220.blue, синій</t>
  </si>
  <si>
    <t>p059002</t>
  </si>
  <si>
    <t>Індикатор на DIN-рейку e.i.din.220.green, зелений</t>
  </si>
  <si>
    <t>p059006</t>
  </si>
  <si>
    <t>Індикатор на DIN-рейку e.i.din.220.orange, помаранчевий</t>
  </si>
  <si>
    <t>p059001</t>
  </si>
  <si>
    <t>Індикатор на DIN-рейку e.i.din.220.red, червоний</t>
  </si>
  <si>
    <t>p059005</t>
  </si>
  <si>
    <t>Індикатор на DIN-рейку e.i.din.220.white, білий</t>
  </si>
  <si>
    <t>p059004</t>
  </si>
  <si>
    <t>Індикатор на DIN-рейку e.i.din.220.yellow, жовтий</t>
  </si>
  <si>
    <t>i0270004</t>
  </si>
  <si>
    <t>Індикатор e.industrial.i.1.red, червоний</t>
  </si>
  <si>
    <t>i0270005</t>
  </si>
  <si>
    <t>Індикатор e.industrial.i.1.green, зелений</t>
  </si>
  <si>
    <t>i0270001</t>
  </si>
  <si>
    <t>Індикатор e.industrial.i.1.yellow.1.green, жовто-зелений</t>
  </si>
  <si>
    <t>i0270002</t>
  </si>
  <si>
    <t>Індикатор e.industrial.i.1.yellow.1.red, жовто-червоний</t>
  </si>
  <si>
    <t>i0290005</t>
  </si>
  <si>
    <t>Індикатор e.industrial.i.blue, синій</t>
  </si>
  <si>
    <t>i0290001</t>
  </si>
  <si>
    <t>Індикатор e.industrial.i.wcl, безбарвний</t>
  </si>
  <si>
    <t>9.Кнопки керування на DIN-рейку PB</t>
  </si>
  <si>
    <t>i0790002</t>
  </si>
  <si>
    <t>Кнопка на DIN-рейку e.pb.din.green, зелена</t>
  </si>
  <si>
    <t>i0790001</t>
  </si>
  <si>
    <t>Кнопка на DIN-рейку e.pb.din.red, червона</t>
  </si>
  <si>
    <t>i0790004</t>
  </si>
  <si>
    <t>Кнопка з індикатором на DIN-рейку e.pbi.din.green, зелена</t>
  </si>
  <si>
    <t>i0790003</t>
  </si>
  <si>
    <t>Кнопка з індикатором на DIN-рейку e.pbi.din.red, червона</t>
  </si>
  <si>
    <t>i0790006</t>
  </si>
  <si>
    <t>Кнопка з індикатором з фіксатором на DIN-рейку e.pbif.din.green, зелена</t>
  </si>
  <si>
    <t>i0790005</t>
  </si>
  <si>
    <t>Кнопка з індикатором з фіксатором на DIN-рейку e.pbif.din.red, червона</t>
  </si>
  <si>
    <t>10.Блоки живлення на DIN-рейку M-POWER</t>
  </si>
  <si>
    <t>i083001</t>
  </si>
  <si>
    <t>Блок живлення на DIN-рейку e.m-power.15.24 15Вт, DC24В</t>
  </si>
  <si>
    <t>i083002</t>
  </si>
  <si>
    <t>Блок живлення на DIN-рейку e.m-power.30.12 30Вт, DC12В</t>
  </si>
  <si>
    <t>i083003</t>
  </si>
  <si>
    <t>Блок живлення на DIN-рейку e.m-power.30.24 30Вт, DC24В</t>
  </si>
  <si>
    <t>i083004</t>
  </si>
  <si>
    <t>Блок живлення на DIN-рейку e.m-power.60.12 60Вт, DC12В</t>
  </si>
  <si>
    <t>i083005</t>
  </si>
  <si>
    <t>Блок живлення на DIN-рейку e.m-power.60.24 60Вт, DC24В</t>
  </si>
  <si>
    <t>i083006</t>
  </si>
  <si>
    <t>Блок живлення на DIN-рейку e.m-power.120.24 120Вт, DC24В</t>
  </si>
  <si>
    <t>11.Інші модульні пристрої</t>
  </si>
  <si>
    <t>i0310031</t>
  </si>
  <si>
    <t>Лічильник однофазний e.control.w04 5(30)А електронний клас 1.0 (некомер)</t>
  </si>
  <si>
    <t>p0600001</t>
  </si>
  <si>
    <t>Дзвоник e.ringer.din.220</t>
  </si>
  <si>
    <t>p057001</t>
  </si>
  <si>
    <t>Трансформатор на DIN-рейку e.trans.din.8.12.24</t>
  </si>
  <si>
    <t>2.Силове обладнання</t>
  </si>
  <si>
    <t>1.Силові автоматичні вимикачі UKM серій S, SL, Re</t>
  </si>
  <si>
    <t>1.Шафові автоматичні вимикачі UKM серії S INDUSTRIAL</t>
  </si>
  <si>
    <t>i0010015</t>
  </si>
  <si>
    <t>Шафовий автоматичний вимикач e.industrial.ukm.60S.10, 3р, 10А</t>
  </si>
  <si>
    <t>i0010014</t>
  </si>
  <si>
    <t>Шафовий автоматичний вимикач e.industrial.ukm.60S.16, 3р, 16А</t>
  </si>
  <si>
    <t>i0010016</t>
  </si>
  <si>
    <t>Шафовий автоматичний вимикач e.industrial.ukm.60S.20, 3р, 20А</t>
  </si>
  <si>
    <t>i0010026</t>
  </si>
  <si>
    <t>Шафовий автоматичний вимикач e.industrial.ukm.60S.25, 3р, 25А</t>
  </si>
  <si>
    <t>i0010001</t>
  </si>
  <si>
    <t>Шафовий автоматичний вимикач e.industrial.ukm.60S.32, 3р, 32А</t>
  </si>
  <si>
    <t>i0010002</t>
  </si>
  <si>
    <t>Шафовий автоматичний вимикач e.industrial.ukm.60S.40, 3р, 40А</t>
  </si>
  <si>
    <t>i0010003</t>
  </si>
  <si>
    <t>Шафовий автоматичний вимикач e.industrial.ukm.60S.50, 3р, 50А</t>
  </si>
  <si>
    <t>i0010004</t>
  </si>
  <si>
    <t>Шафовий автоматичний вимикач e.industrial.ukm.60S.63, 3р, 63А</t>
  </si>
  <si>
    <t>i0010020</t>
  </si>
  <si>
    <t>Шафовий автоматичний вимикач e.industrial.ukm.100S.40, 3р, 40А</t>
  </si>
  <si>
    <t>i0010021</t>
  </si>
  <si>
    <t>Шафовий автоматичний вимикач e.industrial.ukm.100S.50, 3р, 50А</t>
  </si>
  <si>
    <t>i0010022</t>
  </si>
  <si>
    <t>Шафовий автоматичний вимикач e.industrial.ukm.100S.63, 3р, 63А</t>
  </si>
  <si>
    <t>i0010005</t>
  </si>
  <si>
    <t>Шафовий автоматичний вимикач e.industrial.ukm.100S.80, 3р, 80А</t>
  </si>
  <si>
    <t>i0010006</t>
  </si>
  <si>
    <t>Шафовий автоматичний вимикач e.industrial.ukm.100S.100, 3р, 100А</t>
  </si>
  <si>
    <t>i0010017</t>
  </si>
  <si>
    <t>Шафовий автоматичний вимикач e.industrial.ukm.250S.100, 3р, 100А</t>
  </si>
  <si>
    <t>i0010018</t>
  </si>
  <si>
    <t>Шафовий автоматичний вимикач e.industrial.ukm.250S.125, 3р, 125А</t>
  </si>
  <si>
    <t>i0010007</t>
  </si>
  <si>
    <t>Шафовий автоматичний вимикач e.industrial.ukm.250S.160, 3р, 160А</t>
  </si>
  <si>
    <t>i0010013</t>
  </si>
  <si>
    <t>Шафовий автоматичний вимикач e.industrial.ukm.250S.175, 3р, 175А</t>
  </si>
  <si>
    <t>i0010008</t>
  </si>
  <si>
    <t>Шафовий автоматичний вимикач e.industrial.ukm.250S.200, 3р, 200А</t>
  </si>
  <si>
    <t>i0010019</t>
  </si>
  <si>
    <t>Шафовий автоматичний вимикач e.industrial.ukm.250S.225, 3р, 225А</t>
  </si>
  <si>
    <t>i0010009</t>
  </si>
  <si>
    <t>Шафовий автоматичний вимикач e.industrial.ukm.250S.250, 3р, 250А</t>
  </si>
  <si>
    <t>i0010027</t>
  </si>
  <si>
    <t>Шафовий автоматичний вимикач e.industrial.ukm.400S.300, 3р, 300А</t>
  </si>
  <si>
    <t>i0010032</t>
  </si>
  <si>
    <t>Шафовий автоматичний вимикач e.industrial.ukm.400S.315, 3р, 315А</t>
  </si>
  <si>
    <t>i0010010</t>
  </si>
  <si>
    <t>Шафовий автоматичний вимикач e.industrial.ukm.400S.400, 3р, 400А</t>
  </si>
  <si>
    <t>i0010028</t>
  </si>
  <si>
    <t>Шафовий автоматичний вимикач e.industrial.ukm.630S.500, 3р, 500А</t>
  </si>
  <si>
    <t>i0010011</t>
  </si>
  <si>
    <t>Шафовий автоматичний вимикач e.industrial.ukm.630S.630, 3р, 630А</t>
  </si>
  <si>
    <t>i0010029</t>
  </si>
  <si>
    <t>Шафовий автоматичний вимикач e.industrial.ukm.800S.700, 3р, 700А</t>
  </si>
  <si>
    <t>i0010012</t>
  </si>
  <si>
    <t>Шафовий автоматичний вимикач e.industrial.ukm.800S.800, 3р, 800А</t>
  </si>
  <si>
    <t>i0010023</t>
  </si>
  <si>
    <t>Шафовий автоматичний вимикач e.industrial.ukm.1000S.1000, 3р, 1000А</t>
  </si>
  <si>
    <t>i0010024</t>
  </si>
  <si>
    <t>Шафовий автоматичний вимикач e.industrial.ukm.1250S.1250, 3р, 1250А</t>
  </si>
  <si>
    <t>i0010025</t>
  </si>
  <si>
    <t>Шафовий автоматичний вимикач e.industrial.ukm.1500S.1500, 3р, 1500А</t>
  </si>
  <si>
    <t>i0010030</t>
  </si>
  <si>
    <t>Шафовий автоматичний вимикач e.industrial.ukm.1600S.1600, 3р, 1600А</t>
  </si>
  <si>
    <t>i0010031</t>
  </si>
  <si>
    <t>Шафовий автоматичний вимикач e.industrial.ukm.2000S.2000, 3р, 2000А</t>
  </si>
  <si>
    <t>2.Додаткове обладнання до UKM серії S INDUSTRIAL</t>
  </si>
  <si>
    <t>i0020001</t>
  </si>
  <si>
    <t>Додатковий сигнальний контакт e.industrial.ukm.60.B</t>
  </si>
  <si>
    <t>i0060001</t>
  </si>
  <si>
    <t>Поворотна рукоятка e.industrial.ukm.60.CS</t>
  </si>
  <si>
    <t>i0030001</t>
  </si>
  <si>
    <t>Додатковий контакт e.industrial.ukm.60.F</t>
  </si>
  <si>
    <t>i0070004</t>
  </si>
  <si>
    <t>Незалежний розчіплювач e.industrial.ukm.60.FL.220, 220В</t>
  </si>
  <si>
    <t>i0040001</t>
  </si>
  <si>
    <t>Розчіплювач мінімальної напруги e.industrial.ukm.60.QY.380, 380В</t>
  </si>
  <si>
    <t>i0020002</t>
  </si>
  <si>
    <t>Додатковий сигнальний контакт e.industrial.ukm.100.B</t>
  </si>
  <si>
    <t>i0060002</t>
  </si>
  <si>
    <t>Поворотна рукоятка e.industrial.ukm.100.CS</t>
  </si>
  <si>
    <t>i0030002</t>
  </si>
  <si>
    <t>Додатковий контакт e.industrial.ukm.100.F</t>
  </si>
  <si>
    <t>i0070001</t>
  </si>
  <si>
    <t>Незалежний розчіплювач e.industrial.ukm.100.FL.220, 220В</t>
  </si>
  <si>
    <t>i0090001</t>
  </si>
  <si>
    <t>Привід електромагнітний e.industrial.ukm.100.MD.220, 220В</t>
  </si>
  <si>
    <t>i0080001</t>
  </si>
  <si>
    <t>Мотор-редуктор e.industrial.ukm.100.MDX.220, 220В</t>
  </si>
  <si>
    <t>i0040002</t>
  </si>
  <si>
    <t>Розчіплювач мінімальної напруги e.industrial.ukm.100.QY.380, 380В</t>
  </si>
  <si>
    <t>i0780001</t>
  </si>
  <si>
    <t>Міжфазна перегородка гумова e.industrial.ukm.100S.burrier</t>
  </si>
  <si>
    <t>i0050003</t>
  </si>
  <si>
    <t>Шина e.industrial.ukm.100S.busbar</t>
  </si>
  <si>
    <t>компл</t>
  </si>
  <si>
    <t>i0020003</t>
  </si>
  <si>
    <t>Додатковий сигнальний контакт e.industrial.ukm.250.B</t>
  </si>
  <si>
    <t>i0060003</t>
  </si>
  <si>
    <t>Поворотна рукоятка e.industrial.ukm.250.CS</t>
  </si>
  <si>
    <t>i0030003</t>
  </si>
  <si>
    <t>Додатковий контакт e.industrial.ukm.250.F</t>
  </si>
  <si>
    <t>i0070002</t>
  </si>
  <si>
    <t>Незалежний розчіплювач e.industrial.ukm.250.FL.220, 220В</t>
  </si>
  <si>
    <t>i0090002</t>
  </si>
  <si>
    <t>Привід електромагнітний e.industrial.ukm.250.MD.220, 220В</t>
  </si>
  <si>
    <t>i0080002</t>
  </si>
  <si>
    <t>Мотор-редуктор e.industrial.ukm.250.MDX.220, 220В</t>
  </si>
  <si>
    <t>i0040003</t>
  </si>
  <si>
    <t>Розчіплювач мінімальної напруги e.industrial.ukm.250.QY.380, 380В</t>
  </si>
  <si>
    <t>i0780002</t>
  </si>
  <si>
    <t>Міжфазна перегородка гумова e.industrial.ukm.250S.burrier</t>
  </si>
  <si>
    <t>i0050002</t>
  </si>
  <si>
    <t>Шина e.industrial.ukm.250S.busbar</t>
  </si>
  <si>
    <t>i0060004</t>
  </si>
  <si>
    <t>Поворотна рукоятка e.industrial.ukm.400.CS</t>
  </si>
  <si>
    <t>i0080003</t>
  </si>
  <si>
    <t>Мотор-редуктор e.industrial.ukm.400.MDX.220, 220В</t>
  </si>
  <si>
    <t>i0020004</t>
  </si>
  <si>
    <t>Додатковий сигнальний контакт e.industrial.ukm.400-800.B</t>
  </si>
  <si>
    <t>i0030004</t>
  </si>
  <si>
    <t>Додатковий контакт e.industrial.ukm.400-800.F</t>
  </si>
  <si>
    <t>i0070003</t>
  </si>
  <si>
    <t>Незалежний розчіплювач e.industrial.ukm.400-800.FL.220, 220В</t>
  </si>
  <si>
    <t>i0040004</t>
  </si>
  <si>
    <t>Розчіплювач мінімальної напруги e.industrial.ukm.400-800.QY.380, 380В</t>
  </si>
  <si>
    <t>i0050004</t>
  </si>
  <si>
    <t>Шина e.industrial.ukm.400S.busbar</t>
  </si>
  <si>
    <t>к-кт</t>
  </si>
  <si>
    <t>i0060005</t>
  </si>
  <si>
    <t>Поворотна рукоятка e.industrial.ukm.630-800.CS</t>
  </si>
  <si>
    <t>i0080004</t>
  </si>
  <si>
    <t>Мотор-редуктор e.industrial.ukm.630-800.MDX.220, 220В</t>
  </si>
  <si>
    <t>i0050005</t>
  </si>
  <si>
    <t>Шина e.industrial.ukm.630S.busbar</t>
  </si>
  <si>
    <t>i0050006</t>
  </si>
  <si>
    <t>Шина e.industrial.ukm.800S.busbar</t>
  </si>
  <si>
    <t>i0050001</t>
  </si>
  <si>
    <t>Планка контактна e.industrial.ukm.JX</t>
  </si>
  <si>
    <t>2.Шафові автоматичні вимикачі UKM серій SL та Sm INDUSTRIAL</t>
  </si>
  <si>
    <t>1.Шафові автоматичні вимикачі UKM серії SL INDUSTRIAL</t>
  </si>
  <si>
    <t>i0660024</t>
  </si>
  <si>
    <t>Шафовий автоматичний вимикач e.industrial.ukm.100SL.32, 3р, 32А</t>
  </si>
  <si>
    <t>i0660011</t>
  </si>
  <si>
    <t>Шафовий автоматичний вимикач e.industrial.ukm.100SL.40, 3р, 40А</t>
  </si>
  <si>
    <t>i0660012</t>
  </si>
  <si>
    <t>Шафовий автоматичний вимикач e.industrial.ukm.100SL.50, 3р, 50А</t>
  </si>
  <si>
    <t>i0660001</t>
  </si>
  <si>
    <t>Шафовий автоматичний вимикач e.industrial.ukm.100SL.63, 3р, 63А</t>
  </si>
  <si>
    <t>i0660013</t>
  </si>
  <si>
    <t>Шафовий автоматичний вимикач e.industrial.ukm.100SL.80, 3р, 80А</t>
  </si>
  <si>
    <t>i0660002</t>
  </si>
  <si>
    <t>Шафовий автоматичний вимикач e.industrial.ukm.100SL.100, 3р, 100А</t>
  </si>
  <si>
    <t>i0660017</t>
  </si>
  <si>
    <t>Шафовий автоматичний вимикач e.industrial.ukm.250SL.100, 3р, 100А</t>
  </si>
  <si>
    <t>i0660014</t>
  </si>
  <si>
    <t>Шафовий автоматичний вимикач e.industrial.ukm.250SL.125, 3р, 125А</t>
  </si>
  <si>
    <t>i0660003</t>
  </si>
  <si>
    <t>Шафовий автоматичний вимикач e.industrial.ukm.250SL.160, 3р, 160А</t>
  </si>
  <si>
    <t>i0660015</t>
  </si>
  <si>
    <t>Шафовий автоматичний вимикач e.industrial.ukm.250SL.175, 3р, 175А</t>
  </si>
  <si>
    <t>i0660016</t>
  </si>
  <si>
    <t>Шафовий автоматичний вимикач e.industrial.ukm.250SL.200, 3р, 200А</t>
  </si>
  <si>
    <t>i0660018</t>
  </si>
  <si>
    <t>Шафовий автоматичний вимикач e.industrial.ukm.250SL.225, 3р, 225А</t>
  </si>
  <si>
    <t>i0660004</t>
  </si>
  <si>
    <t>Шафовий автоматичний вимикач e.industrial.ukm.250SL.250, 3р, 250А</t>
  </si>
  <si>
    <t>i0660025</t>
  </si>
  <si>
    <t>Шафовий автоматичний вимикач e.industrial.ukm.400SL.300, 3р, 300А</t>
  </si>
  <si>
    <t>i0660020</t>
  </si>
  <si>
    <t>Шафовий автоматичний вимикач e.industrial.ukm.400SL.400, 3р, 400А</t>
  </si>
  <si>
    <t>i0660021</t>
  </si>
  <si>
    <t>Шафовий автоматичний вимикач e.industrial.ukm.630SL.630, 3р, 630А</t>
  </si>
  <si>
    <t>i0660022</t>
  </si>
  <si>
    <t>Шафовий автоматичний вимикач e.industrial.ukm.800SL.800, 3р, 800А</t>
  </si>
  <si>
    <t>2.Шафові автоматичні вимикачі UKM серії Sm INDUSTRIAL</t>
  </si>
  <si>
    <t>i0650004</t>
  </si>
  <si>
    <t>Шафовий автоматичний вимикач e.industrial.ukm.60Sm.32, 3р, 32А</t>
  </si>
  <si>
    <t>i0650005</t>
  </si>
  <si>
    <t>Шафовий автоматичний вимикач e.industrial.ukm.60Sm.40, 3р, 40А</t>
  </si>
  <si>
    <t>i0650007</t>
  </si>
  <si>
    <t>Шафовий автоматичний вимикач e.industrial.ukm.60Sm.63, 3р, 63А</t>
  </si>
  <si>
    <t>i0650019</t>
  </si>
  <si>
    <t>Шафовий автоматичний вимикач e.industrial.ukm.100Sm.40, 3р, 40А</t>
  </si>
  <si>
    <t>i0650008</t>
  </si>
  <si>
    <t>Шафовий автоматичний вимикач e.industrial.ukm.100Sm.63, 3р, 63А</t>
  </si>
  <si>
    <t>i0650014</t>
  </si>
  <si>
    <t>Шафовий автоматичний вимикач e.industrial.ukm.250Sm.160, 3р, 160А</t>
  </si>
  <si>
    <t>i0650015</t>
  </si>
  <si>
    <t>Шафовий автоматичний вимикач e.industrial.ukm.250Sm.175, 3р, 175А</t>
  </si>
  <si>
    <t>3.Додаткове обладнання до UKM серій SL та Sm INDUSTRIAL</t>
  </si>
  <si>
    <t>i0690001</t>
  </si>
  <si>
    <t>Додатковий сигнальний контакт e.industrial.ukm.63Sm/63SL.B</t>
  </si>
  <si>
    <t>i0750001</t>
  </si>
  <si>
    <t>Поворотна рукоятка e.industrial.ukm.63Sm/63SL.CS</t>
  </si>
  <si>
    <t>i0670001</t>
  </si>
  <si>
    <t>Додатковий контакт e.industrial.ukm.63Sm/63SL.F.left, лівий</t>
  </si>
  <si>
    <t>i0680001</t>
  </si>
  <si>
    <t>Додатковий контакт e.industrial.ukm.63Sm/63SL.F.right, правий</t>
  </si>
  <si>
    <t>i0700001</t>
  </si>
  <si>
    <t>Додатковий незалежний розчіплювач e.industrial.ukm.63Sm/63SL.FL</t>
  </si>
  <si>
    <t>i0740001</t>
  </si>
  <si>
    <t>Додатковий механізм блокування e.industrial.ukm.63Sm/63SL.ML</t>
  </si>
  <si>
    <t>i0710001</t>
  </si>
  <si>
    <t>Додатковий розчіплювач мінімальної напруги e.industrial.ukm.63Sm/63SL.QY</t>
  </si>
  <si>
    <t>i0690002</t>
  </si>
  <si>
    <t>Додатковий сигнальний контакт e.industrial.ukm.100Sm/100SL.B</t>
  </si>
  <si>
    <t>i0750002</t>
  </si>
  <si>
    <t>Поворотна рукоятка e.industrial.ukm.100Sm/100SL.CS</t>
  </si>
  <si>
    <t>i0670002</t>
  </si>
  <si>
    <t>Додатковий контакт e.industrial.ukm.100Sm/100SL.F.left, лівий</t>
  </si>
  <si>
    <t>i0700002</t>
  </si>
  <si>
    <t>Додатковий незалежний розчіплювач e.industrial.ukm.100Sm/100SL.FL</t>
  </si>
  <si>
    <t>i0720001</t>
  </si>
  <si>
    <t>Мотор-редуктор e.industrial.ukm.100Sm/100SL.MD.220</t>
  </si>
  <si>
    <t>i0740002</t>
  </si>
  <si>
    <t>Додатковий механізм блокування e.industrial.ukm.100Sm/100SL.ML</t>
  </si>
  <si>
    <t>i0710002</t>
  </si>
  <si>
    <t>Додатковий розчіплювач мінімальної напруги e.industrial.ukm.100Sm/100SL.QY</t>
  </si>
  <si>
    <t>i0690003</t>
  </si>
  <si>
    <t>Додатковий сигнальний контакт e.industrial.ukm.250Sm/250SL.B</t>
  </si>
  <si>
    <t>i0750003</t>
  </si>
  <si>
    <t>Поворотна рукоятка e.industrial.ukm.250Sm/250SL.CS</t>
  </si>
  <si>
    <t>i0670003</t>
  </si>
  <si>
    <t>Додатковий контакт e.industrial.ukm.250Sm/250SL.F.left, лівий</t>
  </si>
  <si>
    <t>i0680003</t>
  </si>
  <si>
    <t>Додатковий контакт e.industrial.ukm.250Sm/250SL.F.right, правий</t>
  </si>
  <si>
    <t>i0700003</t>
  </si>
  <si>
    <t>Додатковий незалежний розчіплювач e.industrial.ukm.250Sm/250SL.FL</t>
  </si>
  <si>
    <t>i0720002</t>
  </si>
  <si>
    <t>Мотор-редуктор e.industrial.ukm.250Sm/250SL.MD.220</t>
  </si>
  <si>
    <t>i0740003</t>
  </si>
  <si>
    <t>Додатковий механізм блокування e.industrial.ukm.250Sm/250SL.ML</t>
  </si>
  <si>
    <t>i0710003</t>
  </si>
  <si>
    <t>Додатковий розчіплювач мінімальної напруги e.industrial.ukm.250Sm/250SL.QY</t>
  </si>
  <si>
    <t>i0690004</t>
  </si>
  <si>
    <t>Додатковий сигнальний контакт e.industrial.ukm.400Sm/400SL.B</t>
  </si>
  <si>
    <t>i0750004</t>
  </si>
  <si>
    <t>Поворотна рукоятка e.industrial.ukm.400Sm/400SL.CS</t>
  </si>
  <si>
    <t>i0670004</t>
  </si>
  <si>
    <t>Додатковий контакт e.industrial.ukm.400Sm/400SL.F.left, лівий</t>
  </si>
  <si>
    <t>i0680004</t>
  </si>
  <si>
    <t>Додатковий контакт e.industrial.ukm.400Sm/400SL.F.right, правий</t>
  </si>
  <si>
    <t>i0700004</t>
  </si>
  <si>
    <t>Додатковий незалежний розчіплювач e.industrial.ukm.400Sm/400SL.FL</t>
  </si>
  <si>
    <t>i0730001</t>
  </si>
  <si>
    <t>Привід електромагнітний e.industrial.ukm.400Sm/400SL.MDХ.220</t>
  </si>
  <si>
    <t>i0740004</t>
  </si>
  <si>
    <t>Додатковий механізм блокування e.industrial.ukm.400Sm/400SL.ML</t>
  </si>
  <si>
    <t>i0710004</t>
  </si>
  <si>
    <t>Додатковий розчіплювач мінімальної напруги e.industrial.ukm.400Sm/400SL.QY</t>
  </si>
  <si>
    <t>3.Шафові автоматичні вимикачі UKM серії Re INDUSTRIAL</t>
  </si>
  <si>
    <t>1.Шафові автоматичні вимикачі UKM серії Re E.INDUSTRIAL</t>
  </si>
  <si>
    <t>i0770028</t>
  </si>
  <si>
    <t>Силовий автоматичний вимикач e.industrial.ukm.100Re.100 з електронним розчіплювачем, 3р, 100А</t>
  </si>
  <si>
    <t>i0770029</t>
  </si>
  <si>
    <t>Силовий автоматичний вимикач e.industrial.ukm.250Re.225 з електронним розчіплювачем, 3р, 225А</t>
  </si>
  <si>
    <t>i0770030</t>
  </si>
  <si>
    <t>Силовий автоматичний вимикач e.industrial.ukm.400Re.250 з електронним розчіплювачем, 3р, 250А</t>
  </si>
  <si>
    <t>i0770023</t>
  </si>
  <si>
    <t>Силовий автоматичний вимикач e.industrial.ukm.400Rе.400 з електронним розчіплювачем, 3р, 400А</t>
  </si>
  <si>
    <t>i0770024</t>
  </si>
  <si>
    <t>Силовий автоматичний вимикач e.industrial.ukm.800Rе.630 з електронним розчіплювачем, 3р, 630А</t>
  </si>
  <si>
    <t>i0770025</t>
  </si>
  <si>
    <t>Силовий автоматичний вимикач e.industrial.ukm.800Rе.800 з електронним розчіплювачем, 3р, 800А</t>
  </si>
  <si>
    <t>i0770026</t>
  </si>
  <si>
    <t>Силовий автоматичний вимикач e.industrial.ukm.1600Rе.1000 з електронним розчіплювачем, 3р, 1000А</t>
  </si>
  <si>
    <t>i0770027</t>
  </si>
  <si>
    <t>Силовий автоматичний вимикач e.industrial.ukm.1600Rе.1600 з електронним розчіплювачем, 3р, 1600А</t>
  </si>
  <si>
    <t>2.Додаткове обладнання до UKM серії Re E.INDUSTRIAL</t>
  </si>
  <si>
    <t>i081003</t>
  </si>
  <si>
    <t>Додатковий та аварійний контакт e.industrial.ukm.800R.FB</t>
  </si>
  <si>
    <t>i081007</t>
  </si>
  <si>
    <t>Незалежний розчеплювач e.industrial.ukm.800R.FL, 230В</t>
  </si>
  <si>
    <t>i081011</t>
  </si>
  <si>
    <t>Мотор-редуктор e.industrial.ukm.800R.MDX, 230В</t>
  </si>
  <si>
    <t>i081004</t>
  </si>
  <si>
    <t>Додатковий та аварійний контакт e.industrial.ukm.1600R.FB</t>
  </si>
  <si>
    <t>i081008</t>
  </si>
  <si>
    <t>Незалежний розчіплювач e.industrial.ukm.1600R.FL, 230В</t>
  </si>
  <si>
    <t>i081012</t>
  </si>
  <si>
    <t>Мотор-редуктор e.industrial.ukm.1600R.MDX, 230В</t>
  </si>
  <si>
    <t>2.Запобіжники NT</t>
  </si>
  <si>
    <t>i0760078</t>
  </si>
  <si>
    <t>Запобіжник плавкий e.fuse.NT00.10, габарит 00, 10А</t>
  </si>
  <si>
    <t>i0760041</t>
  </si>
  <si>
    <t>Запобіжник плавкий e.fuse.NT00.16, габарит 00, 16А</t>
  </si>
  <si>
    <t>i0760042</t>
  </si>
  <si>
    <t>Запобіжник плавкий e.fuse.NT00.25, габарит 00, 25А</t>
  </si>
  <si>
    <t>i0760079</t>
  </si>
  <si>
    <t>Запобіжник плавкий e.fuse.NT00.20, габарит 00, 20А</t>
  </si>
  <si>
    <t>i0760043</t>
  </si>
  <si>
    <t>Запобіжник плавкий e.fuse.NT00.32, габарит 00, 32А</t>
  </si>
  <si>
    <t>i0760077</t>
  </si>
  <si>
    <t>Запобіжник плавкий e.fuse.NT00.40, габарит 00, 40А</t>
  </si>
  <si>
    <t>i0760044</t>
  </si>
  <si>
    <t>Запобіжник плавкий e.fuse.NT00.50, габарит 00, 50А</t>
  </si>
  <si>
    <t>i0760045</t>
  </si>
  <si>
    <t>Запобіжник плавкий e.fuse.NT00.63, габарит 00, 63А</t>
  </si>
  <si>
    <t>i0760046</t>
  </si>
  <si>
    <t>Запобіжник плавкий e.fuse.NT00.80, габарит 00, 80А</t>
  </si>
  <si>
    <t>i0760047</t>
  </si>
  <si>
    <t>Запобіжник плавкий e.fuse.NT00.100, габарит 00, 100А</t>
  </si>
  <si>
    <t>i0760048</t>
  </si>
  <si>
    <t>Запобіжник плавкий e.fuse.NT00.125, габарит 00, 125А</t>
  </si>
  <si>
    <t>i0760049</t>
  </si>
  <si>
    <t>Запобіжник плавкий e.fuse.NT00.160, габарит 00, 160А</t>
  </si>
  <si>
    <t>i0760076</t>
  </si>
  <si>
    <t>Запобіжник плавкий e.fuse.NT0.32, габарит 0, 32А</t>
  </si>
  <si>
    <t>i0760080</t>
  </si>
  <si>
    <t>Запобіжник плавкий e.fuse.NT0.25, габарит 0, 25А</t>
  </si>
  <si>
    <t>i0760081</t>
  </si>
  <si>
    <t>Запобіжник плавкий e.fuse.NT0.40, габарит 0, 40А</t>
  </si>
  <si>
    <t>i0760082</t>
  </si>
  <si>
    <t>Запобіжник плавкий e.fuse.NT0.50, габарит 0, 50А</t>
  </si>
  <si>
    <t>i0760050</t>
  </si>
  <si>
    <t>Запобіжник плавкий e.fuse.NT0.63, габарит 0, 63А</t>
  </si>
  <si>
    <t>i0760051</t>
  </si>
  <si>
    <t>Запобіжник плавкий e.fuse.NT0.80, габарит 0, 80А</t>
  </si>
  <si>
    <t>i0760052</t>
  </si>
  <si>
    <t>Запобіжник плавкий e.fuse.NT0.100, габарит 0, 100А</t>
  </si>
  <si>
    <t>i0760053</t>
  </si>
  <si>
    <t>Запобіжник плавкий e.fuse.NT0.125, габарит 0, 125А</t>
  </si>
  <si>
    <t>i0760054</t>
  </si>
  <si>
    <t>Запобіжник плавкий e.fuse.NT0.160, габарит 0, 160А</t>
  </si>
  <si>
    <t>i0760083</t>
  </si>
  <si>
    <t>Запобіжник плавкий e.fuse.NT1.63, габарит 1, 63А</t>
  </si>
  <si>
    <t>i0760084</t>
  </si>
  <si>
    <t>Запобіжник плавкий e.fuse.NT1.80, габарит 1, 80А</t>
  </si>
  <si>
    <t>i0760055</t>
  </si>
  <si>
    <t>Запобіжник плавкий e.fuse.NT1.100, габарит 1, 100А</t>
  </si>
  <si>
    <t>i0760056</t>
  </si>
  <si>
    <t>Запобіжник плавкий e.fuse.NT1.125, габарит 1, 125А</t>
  </si>
  <si>
    <t>i0760057</t>
  </si>
  <si>
    <t>Запобіжник плавкий e.fuse.NT1.160, габарит 1, 160А</t>
  </si>
  <si>
    <t>i0760058</t>
  </si>
  <si>
    <t>Запобіжник плавкий e.fuse.NT1.200, габарит 1, 200А</t>
  </si>
  <si>
    <t>i0760059</t>
  </si>
  <si>
    <t>Запобіжник плавкий e.fuse.NT1.250, габарит 1, 250А</t>
  </si>
  <si>
    <t>i0760070</t>
  </si>
  <si>
    <t>Запобіжник плавкий e.fuse.NT2.63, габарит 2, 63А</t>
  </si>
  <si>
    <t>i0760071</t>
  </si>
  <si>
    <t>Запобіжник плавкий e.fuse.NT2.80, габарит 2, 80А</t>
  </si>
  <si>
    <t>i0760072</t>
  </si>
  <si>
    <t>Запобіжник плавкий e.fuse.NT2.100, габарит 2, 100А</t>
  </si>
  <si>
    <t>i0760073</t>
  </si>
  <si>
    <t>Запобіжник плавкий e.fuse.NT2.125, габарит 2, 125А</t>
  </si>
  <si>
    <t>i0760074</t>
  </si>
  <si>
    <t>Запобіжник плавкий e.fuse.NT2.160, габарит 2, 160А</t>
  </si>
  <si>
    <t>i0760075</t>
  </si>
  <si>
    <t>Запобіжник плавкий e.fuse.NT2.200, габарит 2, 200А</t>
  </si>
  <si>
    <t>i0760060</t>
  </si>
  <si>
    <t>Запобіжник плавкий e.fuse.NT2.250, габарит 2, 250А</t>
  </si>
  <si>
    <t>i0760061</t>
  </si>
  <si>
    <t>Запобіжник плавкий e.fuse.NT2.315, габарит 2, 315А</t>
  </si>
  <si>
    <t>i0760062</t>
  </si>
  <si>
    <t>Запобіжник плавкий e.fuse.NT2.400, габарит 2, 400А</t>
  </si>
  <si>
    <t>i0760063</t>
  </si>
  <si>
    <t>Запобіжник плавкий e.fuse.NT3.400, габарит 3, 400А</t>
  </si>
  <si>
    <t>i0760085</t>
  </si>
  <si>
    <t>Запобіжник плавкий e.fuse.NT3.500, габарит 3, 500А</t>
  </si>
  <si>
    <t>i0760064</t>
  </si>
  <si>
    <t>Запобіжник плавкий e.fuse.NT3.630, габарит 3, 630А</t>
  </si>
  <si>
    <t>i0760065</t>
  </si>
  <si>
    <t>Тримач запобіжника e.fuse.NT00.h, габарит 00, 160А</t>
  </si>
  <si>
    <t>i0760066</t>
  </si>
  <si>
    <t>Тримач запобіжника e.fuse.NT0.h, габарит 0, 160А</t>
  </si>
  <si>
    <t>i0760067</t>
  </si>
  <si>
    <t>Тримач запобіжника e.fuse.NT1.h, габарит 1, 250А</t>
  </si>
  <si>
    <t>i0760068</t>
  </si>
  <si>
    <t>Тримач запобіжника e.fuse.NT2.h, габарит 2, 400А</t>
  </si>
  <si>
    <t>i0760069</t>
  </si>
  <si>
    <t>Тримач запобіжника e.fuse.NT3.h, габарит 3, 630А</t>
  </si>
  <si>
    <t>i0760006</t>
  </si>
  <si>
    <t>Запобіжник плавкий e.industrial.f.NT0.63, габарит 0, 63А</t>
  </si>
  <si>
    <t>i0760007</t>
  </si>
  <si>
    <t>Запобіжник плавкий e.industrial.f.NT0.80, габарит 0, 80А</t>
  </si>
  <si>
    <t>i0760010</t>
  </si>
  <si>
    <t>Запобіжник плавкий e.industrial.f.NT0.160, габарит 0, 160А</t>
  </si>
  <si>
    <t>i0760012</t>
  </si>
  <si>
    <t>Запобіжник плавкий e.industrial.f.NT1.100, габарит 1, 100А</t>
  </si>
  <si>
    <t>i0760014</t>
  </si>
  <si>
    <t>Запобіжник плавкий e.industrial.f.NT1.160, габарит 1, 160А</t>
  </si>
  <si>
    <t>3.Вимикачі-роз'єднувачі BP</t>
  </si>
  <si>
    <t>BP32-31B71250</t>
  </si>
  <si>
    <t>Вимикачі-роз'єднувач e.VR32.P100 перекидний 100А (31В71250)</t>
  </si>
  <si>
    <t>BP32-35B71250</t>
  </si>
  <si>
    <t>Вимикачі-роз'єднувач e.VR32.P250 перекидний 250А (35В71250)</t>
  </si>
  <si>
    <t>BP32-37B71250</t>
  </si>
  <si>
    <t>Вимикачі-роз'єднувач e.VR32.P400 перекидний 400А (37В71250)</t>
  </si>
  <si>
    <t>BP32-39B71250</t>
  </si>
  <si>
    <t>Вимикачі-роз'єднувач e.VR32.P630 перекидний 630А (39В71250)</t>
  </si>
  <si>
    <t>BP32-31B31250</t>
  </si>
  <si>
    <t>Вимикачі-роз'єднувач e.VR32.R100 розривний 100А (31В31250)</t>
  </si>
  <si>
    <t>BP32-35B31250</t>
  </si>
  <si>
    <t>Вимикачі-роз'єднувач e.VR32.R250 розривний 250А (35В31250)</t>
  </si>
  <si>
    <t>BP32-37B31250</t>
  </si>
  <si>
    <t>Вимикачі-роз'єднувач e.VR32.R400 розривний 400А (37В31250)</t>
  </si>
  <si>
    <t>BP32-39B31250</t>
  </si>
  <si>
    <t>Вимикачі-роз'єднувач e.VR32.R630 розривний 630А (39В31250)</t>
  </si>
  <si>
    <t>4.Вимикачі-роз'єднувачі UKG</t>
  </si>
  <si>
    <t>i0590001</t>
  </si>
  <si>
    <t>Вимикач-роз'єднувач навантаження e.industrial.ukg.125.3, 3р, 125А, з фронтальною рукояткою управління</t>
  </si>
  <si>
    <t>i0590003</t>
  </si>
  <si>
    <t>Вимикач-роз'єднувач навантаження e.industrial.ukg.200.3, 3р, 200А, з фронтальною рукояткою управління</t>
  </si>
  <si>
    <t>i0590007</t>
  </si>
  <si>
    <t>Вимикач-роз'єднувач навантаження e.industrial.ukg.500.3, 3р, 500А, з фронтальною рукояткою управління</t>
  </si>
  <si>
    <t>i0590009</t>
  </si>
  <si>
    <t>Вимикач-роз'єднувач навантаження e.industrial.ukgz.125.3, 3р, 125А, з боковою рукояткою управління</t>
  </si>
  <si>
    <t>i0590010</t>
  </si>
  <si>
    <t>Вимикач-роз'єднувач навантаження e.industrial.ukgz.160.3, 3р, 160А, з боковою рукояткою управління</t>
  </si>
  <si>
    <t>i0590011</t>
  </si>
  <si>
    <t>Вимикач-роз'єднувач навантаження e.industrial.ukgz.200.3, 3р, 200А, з боковою рукояткою управління</t>
  </si>
  <si>
    <t>i0590013</t>
  </si>
  <si>
    <t>Вимикач-роз'єднувач навантаження e.industrial.ukgz.315.3, 3р, 315А, з боковою рукояткою управління</t>
  </si>
  <si>
    <t>i0590015</t>
  </si>
  <si>
    <t>Вимикач-роз'єднувач навантаження e.industrial.ukgz.500.3, 3р, 500А, з боковою рукояткою управління</t>
  </si>
  <si>
    <t>i0590016</t>
  </si>
  <si>
    <t>Вимикач-роз'єднувач навантаження e.industrial.ukgz.630.3, 3р, 630А, з боковою рукояткою управління</t>
  </si>
  <si>
    <t>5.Вимикачі-роз'єднувачі з запобіжниками VR</t>
  </si>
  <si>
    <t>i0760039</t>
  </si>
  <si>
    <t>Вимикач-роз'єднувач під запобіжник e.fuse.VR.160, габарит 00, 3 полюса, 160А</t>
  </si>
  <si>
    <t>i0760040</t>
  </si>
  <si>
    <t>Вимикач-роз'єднувач під запобіжник e.fuse.VR.250, габарит 1, 3 полюса, 250А</t>
  </si>
  <si>
    <t>i0760090</t>
  </si>
  <si>
    <t>Вимикач-роз'єднувач під запобіжник вертикального виконання e.fuse.fsvd.400, габарит 2, 3 полюса, 400А</t>
  </si>
  <si>
    <t>i0760091</t>
  </si>
  <si>
    <t>Вимикач-роз'єднувач під запобіжник вертикального виконання e.fuse.fsvd.630, габарит 3, 3 полюса, 630А</t>
  </si>
  <si>
    <t>6.Роз'єднувачі РЕ</t>
  </si>
  <si>
    <t>PE19-39-31140</t>
  </si>
  <si>
    <t>Роз'єднувач e.PE19.39 31140, 630А</t>
  </si>
  <si>
    <t>PE19-41-31140</t>
  </si>
  <si>
    <t>Роз'єднувач e.PE19.41 31140, 1000А</t>
  </si>
  <si>
    <t>7.Повітряні автоматичні вимикачі ACB</t>
  </si>
  <si>
    <t>i0810001</t>
  </si>
  <si>
    <t>Повітряний автоматичний вимикач e.acb.1000D.1000, викатний, 0,4кВ, 3Р, стандартний електронний розчіплювач, мотор-привід та незалежний розчіплювач АС220В</t>
  </si>
  <si>
    <t>i0810002</t>
  </si>
  <si>
    <t>Повітряний автоматичний вимикач e.acb.2000D.1600, викатний, 0,4кВ, 3Р, стандартний електронний розчіплювач, мотор-привід та незалежний розчіплювач АС220В</t>
  </si>
  <si>
    <t>i0810003</t>
  </si>
  <si>
    <t>Повітряний автоматичний вимикач e.acb.3200D.2500, викатний, 0,4кВ, 3Р, стандартний електронний розчіплювач, мотор-привід та незалежний розчіплювач АС220В</t>
  </si>
  <si>
    <t>8.Перемикачі EMERSON ASCO</t>
  </si>
  <si>
    <t>KM72E</t>
  </si>
  <si>
    <t>Комунікаційний модуль 72E</t>
  </si>
  <si>
    <t>5210</t>
  </si>
  <si>
    <t>Контролер Power Manager 5210</t>
  </si>
  <si>
    <t>E00300030400H100</t>
  </si>
  <si>
    <t>Перемикач Emerson (ENP) ASCO 300 ATS 400A, 380V, 50Hz, 3p</t>
  </si>
  <si>
    <t>J04ATS03000301200H500</t>
  </si>
  <si>
    <t>Перемикач Emerson (ENP) ASCO 4000 ATS 1200A, 380V, 50Hz, 3p</t>
  </si>
  <si>
    <t>J04ATS0300030260H500</t>
  </si>
  <si>
    <t>Перемикач Emerson (ENP) ASCO 4000 ATS 260A, 380V, 50Hz, 3p</t>
  </si>
  <si>
    <t>J04ATS0300030400H500</t>
  </si>
  <si>
    <t>Перемикач Emerson (ENP) ASCO 4000 ATS 400A, 380V, 50Hz, 3p</t>
  </si>
  <si>
    <t>J04ATS0300030600H500</t>
  </si>
  <si>
    <t>Перемикач Emerson (ENP) ASCO 4000 ATS 600A, 380V, 50Hz, 3p</t>
  </si>
  <si>
    <t>3.Комутаційне обладнання</t>
  </si>
  <si>
    <t>1.Контактори UKC</t>
  </si>
  <si>
    <t>1.Контактори UKC серії INDUSTRIAL</t>
  </si>
  <si>
    <t>i.0090001</t>
  </si>
  <si>
    <t>Контактор e.industrial.ukc.6M.220, 6А, 220В, no, малогабаритний</t>
  </si>
  <si>
    <t>i.0090017</t>
  </si>
  <si>
    <t>Контактор e.industrial.ukc.9M.220, 9А, 220В, no, малогабаритний</t>
  </si>
  <si>
    <t>i.0090018</t>
  </si>
  <si>
    <t>Контактор e.industrial.ukc.12M.220.NO, 12А, 220В, no, малогабаритний</t>
  </si>
  <si>
    <t>i.0090070</t>
  </si>
  <si>
    <t>Контактор e.industrial.ukc.12m.220.NC, 12A, 220В, 1nc</t>
  </si>
  <si>
    <t>i.0090071</t>
  </si>
  <si>
    <t>Контактор e.industrial.ukc.9.24, 9A, 24В, 1no+1nc</t>
  </si>
  <si>
    <t>i.0090072</t>
  </si>
  <si>
    <t>Контактор e.industrial.ukc.9.42, 9A, 42В, 1no+1nc</t>
  </si>
  <si>
    <t>i.0090073</t>
  </si>
  <si>
    <t>Контактор e.industrial.ukc.9.110, 9A, 110В, 1no+1nc</t>
  </si>
  <si>
    <t>i.0090069</t>
  </si>
  <si>
    <t>Контактор e.industrial.ukc.9.230, 9А, 230В, 1no+1nc</t>
  </si>
  <si>
    <t>i.0090058</t>
  </si>
  <si>
    <t>Контактор e.industrial.ukc.9.400, 9А, 400В, 1no+1nc</t>
  </si>
  <si>
    <t>i.0090012</t>
  </si>
  <si>
    <t>Контактор e.industrial.ukc.12.24, 12А, 24В, no+nc</t>
  </si>
  <si>
    <t>i.0090044</t>
  </si>
  <si>
    <t>Контактор e.industrial.ukc.12.42, 12А, 42В, no+nc</t>
  </si>
  <si>
    <t>i.0090025</t>
  </si>
  <si>
    <t>Контактор e.industrial.ukc.12.110, 12А, 110В, no+nc</t>
  </si>
  <si>
    <t>i.0090002</t>
  </si>
  <si>
    <t>Контактор e.industrial.ukc.12.220, 12А, 220В, no+nc</t>
  </si>
  <si>
    <t>i.0090021</t>
  </si>
  <si>
    <t>Контактор e.industrial.ukc.12.380, 12А, 380В, no+nc</t>
  </si>
  <si>
    <t>i.0090074</t>
  </si>
  <si>
    <t>Контактор e.industrial.ukc.18.24, 18A, 24В, 1no+1nc</t>
  </si>
  <si>
    <t>i.0090075</t>
  </si>
  <si>
    <t>Контактор e.industrial.ukc.18.42, 18A, 42В, 1no+1nc</t>
  </si>
  <si>
    <t>i.0090076</t>
  </si>
  <si>
    <t>Контактор e.industrial.ukc.18.110, 18A, 110В, 1no+1nc</t>
  </si>
  <si>
    <t>i.0090059</t>
  </si>
  <si>
    <t>Контактор e.industrial.ukc.18.230, 18А, 230В, 1no+1nc</t>
  </si>
  <si>
    <t>i.0090060</t>
  </si>
  <si>
    <t>Контактор e.industrial.ukc.18.400, 18А, 400В, 1no+1nc</t>
  </si>
  <si>
    <t>i.0090077</t>
  </si>
  <si>
    <t>Контактор e.industrial.ukc.25.24, 25A, 24В, 1no+1nc</t>
  </si>
  <si>
    <t>i.0090078</t>
  </si>
  <si>
    <t>Контактор e.industrial.ukc.25.42, 25A, 42В, 1no+1nc</t>
  </si>
  <si>
    <t>i.0090079</t>
  </si>
  <si>
    <t>Контактор e.industrial.ukc.25.110, 25A, 110В, 1no+1nc</t>
  </si>
  <si>
    <t>i.0090061</t>
  </si>
  <si>
    <t>Контактор e.industrial.ukc.25.230, 25А, 230В, 1no+1nc</t>
  </si>
  <si>
    <t>i.0090062</t>
  </si>
  <si>
    <t>Контактор e.industrial.ukc.25.400, 25А, 400В, 1no+1nc</t>
  </si>
  <si>
    <t>i.0090028</t>
  </si>
  <si>
    <t>Контактор e.industrial.ukc.32.24, 32А, 24В, 3P, 1no+1nc</t>
  </si>
  <si>
    <t>i.0090080</t>
  </si>
  <si>
    <t>Контактор e.industrial.ukc.32.42, 32A, 42В, 1no+1nc</t>
  </si>
  <si>
    <t>i.0090029</t>
  </si>
  <si>
    <t>Контактор e.industrial.ukc.32.110, 32А, 110В, 3P, 1no+1nc</t>
  </si>
  <si>
    <t>i.0090030</t>
  </si>
  <si>
    <t>Контактор e.industrial.ukc.32.220, 32А, 220В, 3P, 1no+1nc</t>
  </si>
  <si>
    <t>i.0090031</t>
  </si>
  <si>
    <t>Контактор e.industrial.ukc.32.380, 32А, 380В, 3P, 1no+1nc</t>
  </si>
  <si>
    <t>i.0090013</t>
  </si>
  <si>
    <t>Контактор e.industrial.ukc.40.24, 40А, 24В,  1no+1nc</t>
  </si>
  <si>
    <t>i.0090047</t>
  </si>
  <si>
    <t>Контактор e.industrial.ukc.40.42, 40А, 42В,  1no+1nc</t>
  </si>
  <si>
    <t>i.0090026</t>
  </si>
  <si>
    <t>Контактор e.industrial.ukc.40.110, 40А, 110В,  1no+1nc</t>
  </si>
  <si>
    <t>i.0090004</t>
  </si>
  <si>
    <t>Контактор e.industrial.ukc.40.220, 40А, 220В,  1no+1nc</t>
  </si>
  <si>
    <t>i.0090011</t>
  </si>
  <si>
    <t>Контактор e.industrial.ukc.40.380, 40А, 380В,  1no+1nc</t>
  </si>
  <si>
    <t>i.0090032</t>
  </si>
  <si>
    <t>Контактор e.industrial.ukc.50.24, 50А, 24В, 3P, 1no+1nc</t>
  </si>
  <si>
    <t>i.0090084</t>
  </si>
  <si>
    <t>Контактор e.industrial.ukc.50.42, 50А, 42В, 3P, 1no+1nc</t>
  </si>
  <si>
    <t>i.0090033</t>
  </si>
  <si>
    <t>Контактор e.industrial.ukc.50.110, 50А, 110В, 3P, 1no+1nc</t>
  </si>
  <si>
    <t>i.0090034</t>
  </si>
  <si>
    <t>Контактор e.industrial.ukc.50.220, 50А, 220В, 3P, 1no+1nc</t>
  </si>
  <si>
    <t>i.0090035</t>
  </si>
  <si>
    <t>Контактор e.industrial.ukc.50.380, 50А, 380В, 3P, 1no+1nc</t>
  </si>
  <si>
    <t>i.0090036</t>
  </si>
  <si>
    <t>Контактор e.industrial.ukc.65.24, 65А, 24В, 3P, 1no+1nc</t>
  </si>
  <si>
    <t>i.0090054</t>
  </si>
  <si>
    <t>Контактор e.industrial.ukc.65.42, 65А, 42В, 3P, 1no+1nc</t>
  </si>
  <si>
    <t>i.0090037</t>
  </si>
  <si>
    <t>Контактор e.industrial.ukc.65.110, 65А, 110В, 3P, 1no+1nc</t>
  </si>
  <si>
    <t>i.0090038</t>
  </si>
  <si>
    <t>Контактор e.industrial.ukc.65.220, 65А, 220В, 3P, 1no+1nc</t>
  </si>
  <si>
    <t>i.0090039</t>
  </si>
  <si>
    <t>Контактор e.industrial.ukc.65.380, 65А, 380В, 3P, 1no+1nc</t>
  </si>
  <si>
    <t>i.0090040</t>
  </si>
  <si>
    <t>Контактор e.industrial.ukc.75.24, 75А, 24В, 3P, 1no+1nc</t>
  </si>
  <si>
    <t>i.0090081</t>
  </si>
  <si>
    <t>Контактор e.industrial.ukc.75.42, 75A, 42В, 1no+1nc</t>
  </si>
  <si>
    <t>i.0090041</t>
  </si>
  <si>
    <t>Контактор e.industrial.ukc.75.110, 75А, 110В, 3P, 1no+1nc</t>
  </si>
  <si>
    <t>i.0090042</t>
  </si>
  <si>
    <t>Контактор e.industrial.ukc.75.220, 75А, 220В, 3P, 1no+1nc</t>
  </si>
  <si>
    <t>i.0090043</t>
  </si>
  <si>
    <t>Контактор e.industrial.ukc.75.380, 75А, 380В, 3P, 1no+1nc</t>
  </si>
  <si>
    <t>i.0090020</t>
  </si>
  <si>
    <t>Контактор e.industrial.ukc.85.24, 85А, 24В,  1no+1nc</t>
  </si>
  <si>
    <t>i.0090052</t>
  </si>
  <si>
    <t>Контактор e.industrial.ukc.85.42, 85А, 42В,  1no+1nc</t>
  </si>
  <si>
    <t>i.0090010</t>
  </si>
  <si>
    <t>Контактор e.industrial.ukc.85.110, 85А, 110В,  1no+1nc</t>
  </si>
  <si>
    <t>i.0090005</t>
  </si>
  <si>
    <t>Контактор e.industrial.ukc.85.220, 85А, 220В,  1no+1nc</t>
  </si>
  <si>
    <t>i.0090023</t>
  </si>
  <si>
    <t>Контактор e.industrial.ukc.85.380, 85А, 380В,  1no+1nc</t>
  </si>
  <si>
    <t>i.0090048</t>
  </si>
  <si>
    <t>Контактор e.industrial.ukc.100.110, 100А, 110В,  1no+1nc</t>
  </si>
  <si>
    <t>i.0090049</t>
  </si>
  <si>
    <t>Контактор e.industrial.ukc.100.220, 100А, 220В,  1no+1nc</t>
  </si>
  <si>
    <t>i.0090050</t>
  </si>
  <si>
    <t>Контактор e.industrial.ukc.100.380, 100А, 380В,  1no+1nc</t>
  </si>
  <si>
    <t>i.0090053</t>
  </si>
  <si>
    <t>Контактор e.industrial.ukc.120.110, 120А, 110В,  1no+1nc</t>
  </si>
  <si>
    <t>i.0090006</t>
  </si>
  <si>
    <t>Контактор e.industrial.ukc.120.220, 120А, 220В,  1no+1nc</t>
  </si>
  <si>
    <t>i.0090051</t>
  </si>
  <si>
    <t>Контактор e.industrial.ukc.120.380, 120А, 380В,  1no+1nc</t>
  </si>
  <si>
    <t>i.0090024</t>
  </si>
  <si>
    <t>Контактор e.industrial.ukc.150.110, 150А, 110В,  1no+1nc</t>
  </si>
  <si>
    <t>i.0090007</t>
  </si>
  <si>
    <t>Контактор e.industrial.ukc.150.220, 150А, 220В,  1no+1nc</t>
  </si>
  <si>
    <t>i.0090056</t>
  </si>
  <si>
    <t>Контактор e.industrial.ukc.150.380, 150А, 380В,  1no+1nc</t>
  </si>
  <si>
    <t>i.0090083</t>
  </si>
  <si>
    <t>Контактор e.industrial.ukc.180.110, 180А, 110В, 1no+1nc</t>
  </si>
  <si>
    <t>i.0090063</t>
  </si>
  <si>
    <t>Контактор e.industrial.ukc.180.230, 180А, 230В, 1no+1nc</t>
  </si>
  <si>
    <t>i.0090064</t>
  </si>
  <si>
    <t>Контактор e.industrial.ukc.180.400, 180А, 400В, 1no+1nc</t>
  </si>
  <si>
    <t>i.0090057</t>
  </si>
  <si>
    <t>Контактор e.industrial.ukc.220.110, 220А, 110В,  1no+1nc</t>
  </si>
  <si>
    <t>i.0090008</t>
  </si>
  <si>
    <t>Контактор e.industrial.ukc.220.220, 220А, 220В,  1no+1nc</t>
  </si>
  <si>
    <t>i.0090027</t>
  </si>
  <si>
    <t>Контактор e.industrial.ukc.220.380, 220А, 380В,  1no+1nc</t>
  </si>
  <si>
    <t>i.0090065</t>
  </si>
  <si>
    <t>Контактор e.industrial.ukc.330.230, 330А, 230В, 1no</t>
  </si>
  <si>
    <t>i.0090066</t>
  </si>
  <si>
    <t>Контактор e.industrial.ukc.330.400, 330А, 400В, 1no</t>
  </si>
  <si>
    <t>i.0090009</t>
  </si>
  <si>
    <t>Контактор e.industrial.ukc.400.220, 400А, 220В, no</t>
  </si>
  <si>
    <t>i.0090067</t>
  </si>
  <si>
    <t>Контактор e.industrial.ukc.500.230, 500А, 230В, 1no</t>
  </si>
  <si>
    <t>i.0090068</t>
  </si>
  <si>
    <t>Контактор e.industrial.ukc.500.400, 500А, 400В, 1no</t>
  </si>
  <si>
    <t>i.0090015</t>
  </si>
  <si>
    <t>Контактор e.industrial.ukc.630.220, 630А, 220В, no</t>
  </si>
  <si>
    <t>i.0090055</t>
  </si>
  <si>
    <t>Контактор e.industrial.ukc.630.380, 630А, 380В, no</t>
  </si>
  <si>
    <t>i.0090014</t>
  </si>
  <si>
    <t>Контактор e.industrial.ukd.40.220, 40А, 220В DC, 1no+1nc</t>
  </si>
  <si>
    <t>2.Додаткове обладнання до контакторів UKC серії INDUSTRIAL</t>
  </si>
  <si>
    <t>i0210001</t>
  </si>
  <si>
    <t>Шунт e.industrial.ac.9 до контактору e.industrial.ukc.9</t>
  </si>
  <si>
    <t>i0210002</t>
  </si>
  <si>
    <t>Шунт e.industrial.ac.50 до контактору e.industrial.ukc.85</t>
  </si>
  <si>
    <t>i.0150008</t>
  </si>
  <si>
    <t>Блок реверса контактора e.industrial.ar12m, (ukc.6m-12m)</t>
  </si>
  <si>
    <t>i.0150001</t>
  </si>
  <si>
    <t>Блок реверса контактора e.industrial.ar85 (ukc 9-85)</t>
  </si>
  <si>
    <t>i.0150002</t>
  </si>
  <si>
    <t>Блок реверса контактора e.industrial.ar150 (ukc 120-220)</t>
  </si>
  <si>
    <t>i.0150005</t>
  </si>
  <si>
    <t>Блок реверса контактора e.industrial.ukc.ar400, (ukc.330-400)</t>
  </si>
  <si>
    <t>i.0150006</t>
  </si>
  <si>
    <t>Блок реверса контактора e.industrial.ukc.ar500, (ukc.500)</t>
  </si>
  <si>
    <t>i.0150007</t>
  </si>
  <si>
    <t>Блок реверса контактора e.industrial.ukc.ar400, (ukc.630-800)</t>
  </si>
  <si>
    <t>i0140005</t>
  </si>
  <si>
    <t>Додатковий контакт e.industrial.au.100.11, 1no+1nc</t>
  </si>
  <si>
    <t>i0140001</t>
  </si>
  <si>
    <t>Додатковий контакт e.industrial.au.11lr, 1no+1nc</t>
  </si>
  <si>
    <t>i0140006</t>
  </si>
  <si>
    <t>Додатковий контакт e.industrial.au.2.11, 1no+1nc</t>
  </si>
  <si>
    <t>i0140002</t>
  </si>
  <si>
    <t>Додатковий контакт e.industrial.au.2.20, 2no</t>
  </si>
  <si>
    <t>i0140012</t>
  </si>
  <si>
    <t>Додатковий контакт e.industrial.au.20</t>
  </si>
  <si>
    <t>i0140009</t>
  </si>
  <si>
    <t>Додатковий контакт e.industrial.au.4.04, 4nc</t>
  </si>
  <si>
    <t>i0140008</t>
  </si>
  <si>
    <t>Додатковий контакт e.industrial.au.4.13, 1no+3nc</t>
  </si>
  <si>
    <t>i0140007</t>
  </si>
  <si>
    <t>Додатковий контакт e.industrial.au.4.22, 2no+2nc</t>
  </si>
  <si>
    <t>i0140004</t>
  </si>
  <si>
    <t>Додатковий контакт e.industrial.au.4.31, 3no+1nc</t>
  </si>
  <si>
    <t>i0140003</t>
  </si>
  <si>
    <t>Додатковий контакт e.industrial.au.4.40, 4no</t>
  </si>
  <si>
    <t>i0140010</t>
  </si>
  <si>
    <t>Додатковий контакт e.industrial.au.m.11, 1nc+1no</t>
  </si>
  <si>
    <t>i0140011</t>
  </si>
  <si>
    <t>Додатковий контакт e.industrial.au.m.22, 2nc+2no</t>
  </si>
  <si>
    <t>3.Котушки управління COIL до контакторів UKC серії INDUSTRIAL</t>
  </si>
  <si>
    <t>i0160001</t>
  </si>
  <si>
    <t>Котушка управління e.industrial.ukc.coil.40.24 контактора ukc 9-40A, 24В</t>
  </si>
  <si>
    <t>i0160002</t>
  </si>
  <si>
    <t>Котушка управління e.industrial.ukc.coil.40.42 контактора ukc 9-40A, 42В</t>
  </si>
  <si>
    <t>i0160003</t>
  </si>
  <si>
    <t>Котушка управління e.industrial.ukc.coil.40.110 контактора ukc 9-40A, 110В</t>
  </si>
  <si>
    <t>i0160012</t>
  </si>
  <si>
    <t>Котушка управління e.industrial.ukc.coil.40.220 контактора ukc 9-40A, 220В</t>
  </si>
  <si>
    <t>i0160004</t>
  </si>
  <si>
    <t>Котушка управління e.industrial.ukc.coil.40.380 контактора ukc 9-40A, 380В</t>
  </si>
  <si>
    <t>i0160005</t>
  </si>
  <si>
    <t>Котушка управління e.industrial.ukc.coil.85.24 контактора ukc 50-85A, 24В</t>
  </si>
  <si>
    <t>i0160006</t>
  </si>
  <si>
    <t>Котушка управління e.industrial.ukc.coil.85.42 контактора ukc 50-85A, 42В</t>
  </si>
  <si>
    <t>i0160007</t>
  </si>
  <si>
    <t>Котушка управління e.industrial.ukc.coil.85.110 контактора ukc 50-85A, 110В</t>
  </si>
  <si>
    <t>i0160011</t>
  </si>
  <si>
    <t>Котушка управління e.industrial.ukc.coil.85.220 контактора ukc 50-85A, 220В</t>
  </si>
  <si>
    <t>i0160008</t>
  </si>
  <si>
    <t>Котушка управління e.industrial.ukc.coil.85.380 контактора ukc 50-85A, 380В</t>
  </si>
  <si>
    <t>i0160009</t>
  </si>
  <si>
    <t>Котушка управління e.industrial.ukc.coil.125.110 контактора ukc 100-120A, 110В</t>
  </si>
  <si>
    <t>i0160029</t>
  </si>
  <si>
    <t>Котушка управління e.industrial.ukc.coil.125.220 контактора ukc 100-120A, 220В</t>
  </si>
  <si>
    <t>i0160010</t>
  </si>
  <si>
    <t>Котушка управління e.industrial.ukc.coil.125.380 контактора ukc 100-120A, 380В</t>
  </si>
  <si>
    <t>i0160014</t>
  </si>
  <si>
    <t>Котушка управління e.industrial.ukc.coil.150.110 контактора ukc 150A</t>
  </si>
  <si>
    <t>i0160020</t>
  </si>
  <si>
    <t>Котушка управління e.industrial.ukc.coil.150.220 контактора ukc 150A</t>
  </si>
  <si>
    <t>i0160015</t>
  </si>
  <si>
    <t>Котушка управління e.industrial.ukc.coil.150.380 контактора ukc 150A</t>
  </si>
  <si>
    <t>i0160016</t>
  </si>
  <si>
    <t>Котушка управління e.industrial.ukc.coil.220.110 контактора ukc 220A</t>
  </si>
  <si>
    <t>i0160028</t>
  </si>
  <si>
    <t>Котушка управління e.industrial.ukc.coil.220.220 контактора ukc 220A</t>
  </si>
  <si>
    <t>i0160017</t>
  </si>
  <si>
    <t>Котушка управління e.industrial.ukc.coil.220.380 контактора ukc 220A</t>
  </si>
  <si>
    <t>i0160032</t>
  </si>
  <si>
    <t>Котушка управління e.industrial.ukc.coil.330.230 контактора ukc 330A</t>
  </si>
  <si>
    <t>i0160033</t>
  </si>
  <si>
    <t>Котушка управління e.industrial.ukc.coil.330.400 контактора ukc 330A</t>
  </si>
  <si>
    <t>i0160034</t>
  </si>
  <si>
    <t>Котушка управління e.industrial.ukc.coil.400.230 контактора ukc 400A</t>
  </si>
  <si>
    <t>i0160036</t>
  </si>
  <si>
    <t>Котушка управління e.industrial.ukc.coil.500.230 контактора ukc 500A</t>
  </si>
  <si>
    <t>i0160018</t>
  </si>
  <si>
    <t>Котушка управління e.industrial.ukc.coil.630.110 контактора ukc 630A</t>
  </si>
  <si>
    <t>i0160030</t>
  </si>
  <si>
    <t>Котушка управління e.industrial.ukc.coil.630.220 контактора ukc 630A</t>
  </si>
  <si>
    <t>i0160019</t>
  </si>
  <si>
    <t>Котушка управління e.industrial.ukc.coil.630.380 контактора ukc 630A</t>
  </si>
  <si>
    <t>i0160013</t>
  </si>
  <si>
    <t>Котушка управління e.industrial.ukc.coil.40.110.DC контактора ukd 40A</t>
  </si>
  <si>
    <t>p009029</t>
  </si>
  <si>
    <t>Котушка контактора e.c.pro.380.40, 40А, Uк=380В</t>
  </si>
  <si>
    <t>2.Теплові реле UKH</t>
  </si>
  <si>
    <t>1.Теплове реле UKH до контакторів серії INDUSTRIAL</t>
  </si>
  <si>
    <t>i0110014</t>
  </si>
  <si>
    <t>Теплове реле e.industrial.ukh.13M.2,5.4, номін. струм 13А, діап. регул. 2,5-4 А, малогабаритне</t>
  </si>
  <si>
    <t>i0110015</t>
  </si>
  <si>
    <t>Теплове реле e.industrial.ukh.13M.4.6, номін. струм 13А, діап. регул. 4-6 А, малогабаритне</t>
  </si>
  <si>
    <t>i0110016</t>
  </si>
  <si>
    <t>Теплове реле e.industrial.ukh.13M.5,5.8, номін. струм 13А, діап. регул. 5,5-8 А, малогабаритне</t>
  </si>
  <si>
    <t>i0110017</t>
  </si>
  <si>
    <t>Теплове реле e.industrial.ukh.13M.7.10, номін. струм 13А, діап. регул. 7-10 А, малогабаритне</t>
  </si>
  <si>
    <t>i0110018</t>
  </si>
  <si>
    <t>Теплове реле e.industrial.ukh.13M.9.13, номін. струм 13А, діап. регул. 9-13 А, малогабаритне</t>
  </si>
  <si>
    <t>i0110001</t>
  </si>
  <si>
    <t>Теплове реле e.industrial.ukh.22.1,6, номін. струм 22А, діап. регул. 1-1,6 А</t>
  </si>
  <si>
    <t>i0110002</t>
  </si>
  <si>
    <t>Теплове реле e.industrial.ukh.22.2,5, номін. струм 22А, діап. регул. 1,6-2,5 А</t>
  </si>
  <si>
    <t>i0110003</t>
  </si>
  <si>
    <t>Теплове реле e.industrial.ukh.22.4, номін. струм 22А, діап. регул. 2,5-4 А</t>
  </si>
  <si>
    <t>i0110004</t>
  </si>
  <si>
    <t>Теплове реле e.industrial.ukh.22.6, номін. струм 22А, діап. регул. 4-6 А</t>
  </si>
  <si>
    <t>i0110005</t>
  </si>
  <si>
    <t>Теплове реле e.industrial.ukh.22.9, номін. струм 22А, діап. регул. 6-9 А</t>
  </si>
  <si>
    <t>i0110006</t>
  </si>
  <si>
    <t>Теплове реле e.industrial.ukh.22.13, номін. струм 22А, діап. регул. 9-13 А</t>
  </si>
  <si>
    <t>i0110007</t>
  </si>
  <si>
    <t>Теплове реле e.industrial.ukh.22.18, номін. струм 22А, діап. регул. 12-18 А</t>
  </si>
  <si>
    <t>i0110008</t>
  </si>
  <si>
    <t>Теплове реле e.industrial.ukh.22.22, номін. струм 22А, діап. регул. 16-22 А</t>
  </si>
  <si>
    <t>i0110009</t>
  </si>
  <si>
    <t>Теплове реле e.industrial.ukh.40.36, номін. струм 40А, діап. регул. 24-36 А</t>
  </si>
  <si>
    <t>i0110010</t>
  </si>
  <si>
    <t>Теплове реле e.industrial.ukh.40.40, номін. струм 40А, діап. регул. 28-40 А</t>
  </si>
  <si>
    <t>i0110011</t>
  </si>
  <si>
    <t>Теплове реле e.industrial.ukh.85.65, номін. струм 85А, діап. регул. 45-65 А</t>
  </si>
  <si>
    <t>i0110012</t>
  </si>
  <si>
    <t>Теплове реле e.industrial.ukh.85.85, номін. струм 85А, діап. регул. 63-85 А</t>
  </si>
  <si>
    <t>i0110013</t>
  </si>
  <si>
    <t>Теплове реле e.industrial.ukh.100.125, номін. струм 100А, діап. регул. 85-125 А</t>
  </si>
  <si>
    <t>i0110022</t>
  </si>
  <si>
    <t>Теплове реле e.industrial.ukh.125.85.125, номін. струм 150А, діап. регул. 85-125 А</t>
  </si>
  <si>
    <t>i0110020</t>
  </si>
  <si>
    <t>Теплове реле e.industrial.ukh.150.100.150, номін. струм 150А, діап. регул. 100-150 А</t>
  </si>
  <si>
    <t>i0110021</t>
  </si>
  <si>
    <t>Теплове реле e.industrial.ukh.220.160.240, номін. струм 220А, діап. регул. 160-240 А</t>
  </si>
  <si>
    <t>i0110019</t>
  </si>
  <si>
    <t>Теплове реле e.industrial.ukh.630.380.630, номін. струм 630А, діап. регул. 380-630 А</t>
  </si>
  <si>
    <t>2.Незалежна основа AZH теплового реле серії INDUSTRIAL</t>
  </si>
  <si>
    <t>i0120001</t>
  </si>
  <si>
    <t>Незалежна основа теплового реле e.industrial.azh.22 для реле на 22А</t>
  </si>
  <si>
    <t>i0120002</t>
  </si>
  <si>
    <t>Незалежна основа теплового реле e.industrial.azh.40 для реле на 40А</t>
  </si>
  <si>
    <t>i0120003</t>
  </si>
  <si>
    <t>Незалежна основа теплового реле e.industrial.azh.85 для реле на 85А</t>
  </si>
  <si>
    <t>3.Теплове реле до контакторів серії PRO</t>
  </si>
  <si>
    <t>p0100001</t>
  </si>
  <si>
    <t>Теплове реле e.tr.з.pro.9.016, ном. струм 9 А,  діапаз. рег 0,10-0,16 А</t>
  </si>
  <si>
    <t>p0100002</t>
  </si>
  <si>
    <t>Теплове реле e.tr.з.pro.9.025, ном. струм 9 А,  діапаз. рег 0,16-0,25 А</t>
  </si>
  <si>
    <t>p0100003</t>
  </si>
  <si>
    <t>Теплове реле e.tr.з.pro.9.040, ном. струм 9 А,  діапаз. рег 0,25-0,40 А</t>
  </si>
  <si>
    <t>p0100004</t>
  </si>
  <si>
    <t>Теплове реле e.tr.з.pro.9.063, ном. струм 9 А,  діапаз. рег 0,40-0,63 А</t>
  </si>
  <si>
    <t>p0100015</t>
  </si>
  <si>
    <t>Теплове реле e.tr.з.pro.25.32, ном. струм 25 А,  діапаз. рег 23-32 А</t>
  </si>
  <si>
    <t>p0100025</t>
  </si>
  <si>
    <t>Теплове реле e.tr.з.pro.115.104, ном. струм 115 А,  діапаз. рег 80-104 А</t>
  </si>
  <si>
    <t>p0100026</t>
  </si>
  <si>
    <t>Теплове реле e.tr.з.pro.115.120, ном. струм 115 А,  діапаз. рег 115-120 А</t>
  </si>
  <si>
    <t>p0100027</t>
  </si>
  <si>
    <t>Теплове реле e.tr.з.pro.150.140, ном. струм 150 А,  діапаз. рег 110-140 А</t>
  </si>
  <si>
    <t>3.Магнітні пускачі UKQ серії INDUSTRIAL</t>
  </si>
  <si>
    <t>i0100012</t>
  </si>
  <si>
    <t>Магнітний пускач e.industrial.ukq.9mb.9A 230V</t>
  </si>
  <si>
    <t>i0100001</t>
  </si>
  <si>
    <t>Магнітний пускач e.industrial.ukq.9mb, 9А</t>
  </si>
  <si>
    <t>i0100007</t>
  </si>
  <si>
    <t>Магнітний пускач e.industrial.ukq.12mb.110, 12А, 110V</t>
  </si>
  <si>
    <t>i0100013</t>
  </si>
  <si>
    <t>Магнітний пускач e.industrial.ukq.12mb.230V</t>
  </si>
  <si>
    <t>i0100002</t>
  </si>
  <si>
    <t>Магнітний пускач e.industrial.ukq.12mb, 12А</t>
  </si>
  <si>
    <t>i0100003</t>
  </si>
  <si>
    <t>Магнітний пускач e.industrial.ukq.18mb, 18А</t>
  </si>
  <si>
    <t>i0100004</t>
  </si>
  <si>
    <t>Магнітний пускач e.industrial.ukq.22mb, 22А</t>
  </si>
  <si>
    <t>i0100014</t>
  </si>
  <si>
    <t>Магнітний пускач e.industrial.ukq.32mb.32A 230V</t>
  </si>
  <si>
    <t>i0100005</t>
  </si>
  <si>
    <t>Магнітний пускач e.industrial.ukq.32mb, 32А</t>
  </si>
  <si>
    <t>i0100006</t>
  </si>
  <si>
    <t>Магнітний пускач e.industrial.ukq.40mb, 40А</t>
  </si>
  <si>
    <t>i0100008</t>
  </si>
  <si>
    <t>Магнітний пускач e.industrial.ukq.50b, 50А</t>
  </si>
  <si>
    <t>i0100009</t>
  </si>
  <si>
    <t>Магнітний пускач e.industrial.ukq.65b, 65А</t>
  </si>
  <si>
    <t>i0100010</t>
  </si>
  <si>
    <t>Магнітний пускач e.industrial.ukq.75b, 75А</t>
  </si>
  <si>
    <t>i0100011</t>
  </si>
  <si>
    <t>Магнітний пускач e.industrial.ukq.85b, 85А</t>
  </si>
  <si>
    <t>4.Автоматичні вимикачі захисту двигуна MP</t>
  </si>
  <si>
    <t>1.Автоматичні вимикачі захисту двигуна MP серії PRO</t>
  </si>
  <si>
    <t>p004015</t>
  </si>
  <si>
    <t>Автоматичний вимикач захисту двигуна e.mp.pro.0.4, 0,25-0,4А</t>
  </si>
  <si>
    <t>p004016</t>
  </si>
  <si>
    <t>Автоматичний вимикач захисту двигуна e.mp.pro.0.63, 0,4-0,63А</t>
  </si>
  <si>
    <t>p004017</t>
  </si>
  <si>
    <t>Автоматичний вимикач захисту двигуна e.mp.pro.1, 0,63-1А</t>
  </si>
  <si>
    <t>p004001</t>
  </si>
  <si>
    <t>Автоматичний вимикач захисту двигуна e.mp.pro.1.6, 1-1,6А</t>
  </si>
  <si>
    <t>p004002</t>
  </si>
  <si>
    <t>Автоматичний вимикач захисту двигуна e.mp.pro.2.5, 1,6-2,5А</t>
  </si>
  <si>
    <t>p004003</t>
  </si>
  <si>
    <t>Автоматичний вимикач захисту двигуна e.mp.pro.4, 2,5-4А</t>
  </si>
  <si>
    <t>p004004</t>
  </si>
  <si>
    <t>Автоматичний вимикач захисту двигуна e.mp.pro.6,3 4-6,3А</t>
  </si>
  <si>
    <t>p004005</t>
  </si>
  <si>
    <t>Автоматичний вимикач захисту двигуна e.mp.pro.10, 6-10А</t>
  </si>
  <si>
    <t>p004018</t>
  </si>
  <si>
    <t>Автоматичний вимикач захисту двигуна e.mp.pro.14, 9-14А</t>
  </si>
  <si>
    <t>p004019</t>
  </si>
  <si>
    <t>Автоматичний вимикач захисту двигуна e.mp.pro.18, 13-18А</t>
  </si>
  <si>
    <t>p004007</t>
  </si>
  <si>
    <t>Автоматичний вимикач захисту двигуна e.mp.pro.23, 17-23А</t>
  </si>
  <si>
    <t>p004020</t>
  </si>
  <si>
    <t>Автоматичний вимикач захисту двигуна e.mp.pro.25, 20-25А</t>
  </si>
  <si>
    <t>p004021</t>
  </si>
  <si>
    <t>Автоматичний вимикач захисту двигуна e.mp.pro.32, 24-32А</t>
  </si>
  <si>
    <t>p004022</t>
  </si>
  <si>
    <t>Автоматичний вимикач захисту двигуна e.mp.pro.40, 25-40А</t>
  </si>
  <si>
    <t>p004010</t>
  </si>
  <si>
    <t>Автоматичний вимикач захисту двигуна e.mp.pro.63, 40-63А</t>
  </si>
  <si>
    <t>p004011</t>
  </si>
  <si>
    <t>Автоматичний вимикач захисту двигуна e.mp.pro.80, 63-80А</t>
  </si>
  <si>
    <t>2.Додаткові пристрої до автоматичних вимикачів захисту двигуна MP</t>
  </si>
  <si>
    <t>p004036</t>
  </si>
  <si>
    <t>Корпус пластиковий e.mp.pro.box IP54 з кнопкою "Стоп"</t>
  </si>
  <si>
    <t>p004034</t>
  </si>
  <si>
    <t>Блок контактів боковий  до АЗД (0,4-32) e.mp.pro.ad.0101: додатк.1NC + сигн.1NC</t>
  </si>
  <si>
    <t>p004035</t>
  </si>
  <si>
    <t>Блок контактів боковий  до АЗД (0,4-32) e.mp.pro.ad.0110: додатк.1NO + сигн.1NC</t>
  </si>
  <si>
    <t>p004033</t>
  </si>
  <si>
    <t>Блок контактів боковий  до АЗД (0,4-32) e.mp.pro.ad.1001: додатк.1NC + сигн.1NO</t>
  </si>
  <si>
    <t>p004028</t>
  </si>
  <si>
    <t>Блок контактів боковий  до АЗД (0,4-32) e.mp.pro.ad.1010: додатк.1NO + сигн.1NO</t>
  </si>
  <si>
    <t>p004025</t>
  </si>
  <si>
    <t>Блок контактів фронтальний до АЗД (0,4-32) e.mp.pro.ae11: додатк. 1NO + 1NC</t>
  </si>
  <si>
    <t>p004026</t>
  </si>
  <si>
    <t>Блок контактів боковий до АЗД (0,4-32) e.mp.pro.an11: додатк. 1NO + 1NC</t>
  </si>
  <si>
    <t>p004029</t>
  </si>
  <si>
    <t>Блок контактів боковий до АЗД (40-80) e.mp.pro.dz11: додатк. 1NO + 1NC</t>
  </si>
  <si>
    <t>p004030</t>
  </si>
  <si>
    <t>Блок контактів боковий до АЗД (40-80) e.mp.pro.dz20: додатк.2NO</t>
  </si>
  <si>
    <t>p004024</t>
  </si>
  <si>
    <t>Незалежний розчіплювач до АЗД (0,4-32) e.mp.pro.as.220</t>
  </si>
  <si>
    <t>p004031</t>
  </si>
  <si>
    <t>Незалежний розчіплювач до АЗД (0,4-32) e.mp.pro.as.380</t>
  </si>
  <si>
    <t>p004032</t>
  </si>
  <si>
    <t>Розчіплювач мінімальної напруги до АЗД (0,4-32)  e.mp.pro.au.220</t>
  </si>
  <si>
    <t>p004027</t>
  </si>
  <si>
    <t>Розчіплювач мінімальної напруги до АЗД (0,4-32) e.mp.pro.au.380</t>
  </si>
  <si>
    <t>5.Реле проміжні P</t>
  </si>
  <si>
    <t>i.my3.12ac</t>
  </si>
  <si>
    <t>Реле проміжне e.control.p532 5А, 3 групи контактів, котушка 12В АC</t>
  </si>
  <si>
    <t>i.my3.12dc</t>
  </si>
  <si>
    <t>Реле проміжне e.control.p531 5А, 3 групи контактів, котушка 12В DC</t>
  </si>
  <si>
    <t>i.my3.24ac</t>
  </si>
  <si>
    <t>Реле проміжне e.control.p534 5А, 3 групи контактів, котушка 24В АC</t>
  </si>
  <si>
    <t>i.my3.24dc</t>
  </si>
  <si>
    <t>Реле проміжне e.control.p533 5А, 3 групи контактів, котушка 24В DC</t>
  </si>
  <si>
    <t>i.my3.110ac</t>
  </si>
  <si>
    <t>Реле проміжне e.control.p535 5А, 3 групи контактів, котушка 110В АC</t>
  </si>
  <si>
    <t>i.my3.230ac</t>
  </si>
  <si>
    <t>Реле проміжне e.control.p536 5А, 3 групи контактів, котушка 230В АC</t>
  </si>
  <si>
    <t>i.my4.12ac</t>
  </si>
  <si>
    <t>Реле проміжне e.control.p342 3А, 4 групи контактів, котушка 12В АC</t>
  </si>
  <si>
    <t>i.my4.12dc</t>
  </si>
  <si>
    <t>Реле проміжне e.control.p341 3А, 4 групи контактів, котушка 12В DC</t>
  </si>
  <si>
    <t>i.my4.24ac</t>
  </si>
  <si>
    <t>Реле проміжне e.control.p344 3А, 4 групи контактів, котушка 24В АC</t>
  </si>
  <si>
    <t>i.my4.24dc</t>
  </si>
  <si>
    <t>Реле проміжне e.control.p343 3А, 4 групи контактів, котушка 24В DC</t>
  </si>
  <si>
    <t>i.my4.110ac</t>
  </si>
  <si>
    <t>Реле проміжне e.control.p345 3А, 4 групи контактів, котушка 110В АC</t>
  </si>
  <si>
    <t>i.my4.230ac</t>
  </si>
  <si>
    <t>Реле проміжне e.control.p346 3А, 4 групи контактів, котушка 230В АC</t>
  </si>
  <si>
    <t>i.ly3.12ac</t>
  </si>
  <si>
    <t>Реле проміжне e.control.p1032 10А, 3 групи контактів, котушка 12В АC</t>
  </si>
  <si>
    <t>i.ly3.12dc</t>
  </si>
  <si>
    <t>Реле проміжне e.control.p1031 10А, 3 групи контактів, котушка 12В DC</t>
  </si>
  <si>
    <t>i.ly3.24ac</t>
  </si>
  <si>
    <t>Реле проміжне e.control.p1034 10А, 3 групи контактів, котушка 24В АC</t>
  </si>
  <si>
    <t>i.ly3.24dc</t>
  </si>
  <si>
    <t>Реле проміжне e.control.p1033 10А, 3 групи контактів, котушка 24В DC</t>
  </si>
  <si>
    <t>i.ly3.110ac</t>
  </si>
  <si>
    <t>Реле проміжне e.control.p1035 10А, 3 групи контактів, котушка 110В АC</t>
  </si>
  <si>
    <t>i.ly3.230ac</t>
  </si>
  <si>
    <t>Реле проміжне e.control.p1036 10А, 3 групи контактів, котушка 230В АC</t>
  </si>
  <si>
    <t>i.ly4.12ac</t>
  </si>
  <si>
    <t>Реле проміжне e.control.p1042 10А, 4 групи контактів, котушка 12В АC</t>
  </si>
  <si>
    <t>i.ly4.12dc</t>
  </si>
  <si>
    <t>Реле проміжне e.control.p1041 10А, 4 групи контактів, котушка 12В DC</t>
  </si>
  <si>
    <t>i.ly4.24ac</t>
  </si>
  <si>
    <t>Реле проміжне e.control.p1044 10А, 4 групи контактів, котушка 24В АC</t>
  </si>
  <si>
    <t>i.ly4.24dc</t>
  </si>
  <si>
    <t>Реле проміжне e.control.p1043 10А, 4 групи контактів, котушка 24В DC</t>
  </si>
  <si>
    <t>i.ly4.110ac</t>
  </si>
  <si>
    <t>Реле проміжне e.control.p1045 10А, 4 групи контактів, котушка 110В АC</t>
  </si>
  <si>
    <t>i.ly4.230ac</t>
  </si>
  <si>
    <t>Реле проміжне e.control.p1046 10А, 4 групи контактів, котушка 230В АC</t>
  </si>
  <si>
    <t>i.my3n.230ac</t>
  </si>
  <si>
    <t>Реле проміжне e.control.p536L з Led індикацією 5А, 3 групи контактів, котушка 230В АC</t>
  </si>
  <si>
    <t>i.my4n.230ac</t>
  </si>
  <si>
    <t>Реле проміжне e.control.p346L з Led індикацією 3А, 4 групи контактів, котушка 230В АC</t>
  </si>
  <si>
    <t>i.ly3n.230ac</t>
  </si>
  <si>
    <t>Реле проміжне e.control.p1036L з Led індикацією 10А, 3 групи контактів, котушка 230В АC</t>
  </si>
  <si>
    <t>i.ly4n.230ac</t>
  </si>
  <si>
    <t>Реле проміжне e.control.p1046L з Led індикацією 10А, 4 групи контактів, котушка 230В АC</t>
  </si>
  <si>
    <t>i.pif.11a</t>
  </si>
  <si>
    <t>Роз'єм модульний e.control.p53s для проміжного реле 5А на 3 групи контактів</t>
  </si>
  <si>
    <t>i.pif.14a</t>
  </si>
  <si>
    <t>Роз'єм модульний e.control.p34s для проміжного реле 3А на 4 групи контактів</t>
  </si>
  <si>
    <t>i.ptf.11a</t>
  </si>
  <si>
    <t>Роз'єм модульний e.control.p103s для проміжного реле 10А на 3 групи контактів</t>
  </si>
  <si>
    <t>i.ptf.14a</t>
  </si>
  <si>
    <t>Роз'єм модульний e.control.p104s для проміжного реле 10А на 4 групи контактів</t>
  </si>
  <si>
    <t>6.Пристрої подачі команд і сигналів</t>
  </si>
  <si>
    <t>1.Індикатори AD</t>
  </si>
  <si>
    <t>s009009</t>
  </si>
  <si>
    <t>Арматура світлосигнальна e.ad16.12.green Ø16мм 12В АС/DC зелена</t>
  </si>
  <si>
    <t>s009010</t>
  </si>
  <si>
    <t>Арматура світлосигнальна e.ad16.12.red Ø16мм 12В АС/DC червона</t>
  </si>
  <si>
    <t>s009011</t>
  </si>
  <si>
    <t>Арматура світлосигнальна e.ad16.24.green Ø16мм 24В АС/DC зелена</t>
  </si>
  <si>
    <t>s009012</t>
  </si>
  <si>
    <t>Арматура світлосигнальна e.ad16.24.red Ø16мм 24В АС/DC червона</t>
  </si>
  <si>
    <t>s009013</t>
  </si>
  <si>
    <t>Арматура світлосигнальна e.ad16.230.green Ø16мм 230В АС зелена</t>
  </si>
  <si>
    <t>s009014</t>
  </si>
  <si>
    <t>Арматура світлосигнальна e.ad16.230.red Ø16мм 230В АС червона</t>
  </si>
  <si>
    <t>s009016</t>
  </si>
  <si>
    <t>Арматура світлосигнальна e.ad16.230.blue Ø16мм 230В АС синя</t>
  </si>
  <si>
    <t>s009017</t>
  </si>
  <si>
    <t>Арматура світлосигнальна e.ad16.230.white Ø16мм 230В АС біла</t>
  </si>
  <si>
    <t>s009015</t>
  </si>
  <si>
    <t>Арматура світлосигнальна e.ad16.230.yellow Ø16мм 230В АС жовта</t>
  </si>
  <si>
    <t>s009018</t>
  </si>
  <si>
    <t>Арматура світлосигнальна e.ad22.12.green Ø22мм 12В АС/DC зелена</t>
  </si>
  <si>
    <t>s009019</t>
  </si>
  <si>
    <t>Арматура світлосигнальна e.ad22.12.red Ø22мм 12В АС/DC червона</t>
  </si>
  <si>
    <t>s009028</t>
  </si>
  <si>
    <t>Арматура світлосигнальна e.ad22.12.blue Ø22мм 12В АС/DC синя</t>
  </si>
  <si>
    <t>s009030</t>
  </si>
  <si>
    <t>Арматура світлосигнальна e.ad22.12.white Ø22мм 12В АС/DC біла</t>
  </si>
  <si>
    <t>s009029</t>
  </si>
  <si>
    <t>Арматура світлосигнальна e.ad22.12.yellow Ø22мм 12В АС/DC жовта</t>
  </si>
  <si>
    <t>s009020</t>
  </si>
  <si>
    <t>Арматура світлосигнальна e.ad22.24.green Ø22мм 24В АС/DC зелена</t>
  </si>
  <si>
    <t>s009021</t>
  </si>
  <si>
    <t>Арматура світлосигнальна e.ad22.24.red Ø22мм 24В АС/DC червона</t>
  </si>
  <si>
    <t>s009031</t>
  </si>
  <si>
    <t>Арматура світлосигнальна e.ad22.24.blue Ø22мм 24В АС/DC синя</t>
  </si>
  <si>
    <t>s009033</t>
  </si>
  <si>
    <t>Арматура світлосигнальна e.ad22.24.white Ø22мм 24В АС/DC біла</t>
  </si>
  <si>
    <t>s009032</t>
  </si>
  <si>
    <t>Арматура світлосигнальна e.ad22.24.yellow Ø22мм 24В АС/DC жовта</t>
  </si>
  <si>
    <t>s009022</t>
  </si>
  <si>
    <t>Арматура світлосигнальна e.ad22.230.green Ø22мм 230В АС зелена</t>
  </si>
  <si>
    <t>s009023</t>
  </si>
  <si>
    <t>Арматура світлосигнальна e.ad22.230.red Ø22мм 230В АС червона</t>
  </si>
  <si>
    <t>s009025</t>
  </si>
  <si>
    <t>Арматура світлосигнальна e.ad22.230.blue Ø22мм 230В АС синя</t>
  </si>
  <si>
    <t>s009026</t>
  </si>
  <si>
    <t>Арматура світлосигнальна e.ad22.230.white Ø22мм 230В АС біла</t>
  </si>
  <si>
    <t>s009024</t>
  </si>
  <si>
    <t>Арматура світлосигнальна e.ad22.230.yellow Ø22мм 230В АС жовта</t>
  </si>
  <si>
    <t>s009035</t>
  </si>
  <si>
    <t>Арматура світлосигнальна з індикатором напруги e.ad22.i.12-500.green Ø22мм АС зелена</t>
  </si>
  <si>
    <t>s009034</t>
  </si>
  <si>
    <t>Арматура світлосигнальна з індикатором напруги e.ad22.i.12-500.red Ø22мм АС червона</t>
  </si>
  <si>
    <t>s009027</t>
  </si>
  <si>
    <t>Арматура світлозвукосигнальна аварійна e.ad22.230.buzzer.red Ø22мм 230В АС червона</t>
  </si>
  <si>
    <t>s009002</t>
  </si>
  <si>
    <t>Індикатор e.i.stand.yellow, жовтий (BV 45)</t>
  </si>
  <si>
    <t>s009007</t>
  </si>
  <si>
    <t>Індикатор e.pb.ad.stand.22.22.d.s.blue, синій</t>
  </si>
  <si>
    <t>s009008</t>
  </si>
  <si>
    <t>Індикатор e.pb.ad.stand.22.22.d.s.white, білий</t>
  </si>
  <si>
    <t>2.Кнопки MB, PB,SB</t>
  </si>
  <si>
    <t>1.Кнопки MB</t>
  </si>
  <si>
    <t>p0810145</t>
  </si>
  <si>
    <t>Захисний ковпачок e.mb.22a</t>
  </si>
  <si>
    <t>p0810144</t>
  </si>
  <si>
    <t>Тримач маркування e.mb.a</t>
  </si>
  <si>
    <t>p0810107</t>
  </si>
  <si>
    <t>Кнопка без підсвітки плоска e.mb.ba31 зелена, без фіксації, 1NO</t>
  </si>
  <si>
    <t>p0810110</t>
  </si>
  <si>
    <t>Кнопка без підсвітки плоска e.mb.ba42 червона, без фіксації, 1NС</t>
  </si>
  <si>
    <t>p0810106</t>
  </si>
  <si>
    <t>Кнопка без підсвітки плоска e.mb.ba21 чорна, без фіксації, 1NO</t>
  </si>
  <si>
    <t>p0810108</t>
  </si>
  <si>
    <t>Кнопка без підсвітки плоска e.mb.ba51 жовта, без фіксації, 1NO</t>
  </si>
  <si>
    <t>p0810109</t>
  </si>
  <si>
    <t>Кнопка без підсвітки плоска e.mb.ba61 синя, без фіксації, 1NO</t>
  </si>
  <si>
    <t>p0810116</t>
  </si>
  <si>
    <t>Кнопка "грибок" e.mb.bc31 без фіксації зелена, 1NO</t>
  </si>
  <si>
    <t>p0810119</t>
  </si>
  <si>
    <t>Кнопка "грибок" e.mb.bc42 без фіксації червона, 1NC</t>
  </si>
  <si>
    <t>p0810117</t>
  </si>
  <si>
    <t>Кнопка "грибок" e.mb.bc51 без фіксації жовта, 1NO</t>
  </si>
  <si>
    <t>p0810118</t>
  </si>
  <si>
    <t>Кнопка "грибок" e.mb.bc61 без фіксації синя, 1NO</t>
  </si>
  <si>
    <t>p0810112</t>
  </si>
  <si>
    <t>Кнопка без підсвітки випукла e.mb.bl31 зелена, без фіксації, 1NO</t>
  </si>
  <si>
    <t>p0810115</t>
  </si>
  <si>
    <t>Кнопка без підсвітки випукла e.mb.bl42 червона, без фіксації, 1NС</t>
  </si>
  <si>
    <t>p0810111</t>
  </si>
  <si>
    <t>Кнопка без підсвітки випукла e.mb.bl21 чорна, без фіксації, 1NO</t>
  </si>
  <si>
    <t>p0810113</t>
  </si>
  <si>
    <t>Кнопка без підсвітки випукла e.mb.bl51 жовта, без фіксації, 1NO</t>
  </si>
  <si>
    <t>p0810114</t>
  </si>
  <si>
    <t>Кнопка без підсвітки випукла e.mb.bl61 синя, без фіксації, 1NO</t>
  </si>
  <si>
    <t>p0810124</t>
  </si>
  <si>
    <t>Кнопка "грибок" з ключем поворотна e.mb.bs142 червоний, 1NC</t>
  </si>
  <si>
    <t>p0810123</t>
  </si>
  <si>
    <t>Кнопка "грибок" з фіксацією поворотна e.mb.bs542 червоний, 1NC</t>
  </si>
  <si>
    <t>p0810122</t>
  </si>
  <si>
    <t>Кнопка "грибок" з фіксацією e.mb.bt42 червоний, 1NC</t>
  </si>
  <si>
    <t>p0810102</t>
  </si>
  <si>
    <t>Кнопка з підсвіткою e.mb.bw3361 зелена, без фіксації, 1NO</t>
  </si>
  <si>
    <t>p0810103</t>
  </si>
  <si>
    <t>Кнопка з підсвіткою e.mb.bw3461 червона, без фіксації, 1NC</t>
  </si>
  <si>
    <t>p0810101</t>
  </si>
  <si>
    <t>Кнопка з підсвіткою e.mb.bw3161 біла, без фіксації, 1NO</t>
  </si>
  <si>
    <t>p0810104</t>
  </si>
  <si>
    <t>Кнопка з підсвіткою e.mb.bw3561 жовта, без фіксації, 1NO</t>
  </si>
  <si>
    <t>p0810105</t>
  </si>
  <si>
    <t>Кнопка з підсвіткою e.mb.bw3661 синя, без фіксації, 1NO</t>
  </si>
  <si>
    <t>p0810120</t>
  </si>
  <si>
    <t>Кнопка подвійна квадратна e.mb.bl8325 зелена/червона 1NO+1NC</t>
  </si>
  <si>
    <t>p0810121</t>
  </si>
  <si>
    <t>Кнопка подвійна квадратна з підсвіткою (випукла червона) e.mb.bw8465 1NO+1NC</t>
  </si>
  <si>
    <t>p0810131</t>
  </si>
  <si>
    <t>Кнопка пластикова без фіксації e.mb.ea135 зелена 1NO+1NC</t>
  </si>
  <si>
    <t>p0810132</t>
  </si>
  <si>
    <t>Кнопка пластикова без фіксації e.mb.ea145 червона 1NO+1NC</t>
  </si>
  <si>
    <t>p0810130</t>
  </si>
  <si>
    <t>Кнопка пластикова без фіксації e.mb.ea125 чорна 1NO+1NC</t>
  </si>
  <si>
    <t>p0810126</t>
  </si>
  <si>
    <t>Кнопка пластикова без фіксації e.mb.ea31 зелена, 1NO</t>
  </si>
  <si>
    <t>p0810127</t>
  </si>
  <si>
    <t>Кнопка пластикова без фіксації e.mb.ea42 червона, 1NС</t>
  </si>
  <si>
    <t>p0810125</t>
  </si>
  <si>
    <t>Кнопка пластикова без фіксації e.mb.ea21 чорна, 1NO</t>
  </si>
  <si>
    <t>p0810128</t>
  </si>
  <si>
    <t>Кнопка пластикова з фіксацією e.mb.eh135 зелена 1NO+1NC</t>
  </si>
  <si>
    <t>p0810129</t>
  </si>
  <si>
    <t>Кнопка пластикова з фіксацією e.mb.eh145 червона 1NO+1NC</t>
  </si>
  <si>
    <t>2.Кнопки PB, SB</t>
  </si>
  <si>
    <t>p0810016</t>
  </si>
  <si>
    <t>Тримач маркування e.lh22</t>
  </si>
  <si>
    <t>s011010</t>
  </si>
  <si>
    <t>Кнопка e.pb.la.stand.32.m.11.g, грибок пуск</t>
  </si>
  <si>
    <t>s011006</t>
  </si>
  <si>
    <t>Кнопка e.pb.la.stand.32.nh.11, пуск-стоп білий-чорний</t>
  </si>
  <si>
    <t>s010005</t>
  </si>
  <si>
    <t>Кнопка-індикатор e.pb.la.stand.32.td.11.yellow, жовта</t>
  </si>
  <si>
    <t>p0810011</t>
  </si>
  <si>
    <t>Кнопка e.SB7.24 червона з підсвіткою NC</t>
  </si>
  <si>
    <t>3.Перемикачі MB, PB,SB</t>
  </si>
  <si>
    <t>1.Перемикачі MB</t>
  </si>
  <si>
    <t>p0810133</t>
  </si>
  <si>
    <t>Перемикач e.mb.bd25 на 2 фіксованих положення "1-0" стандартна рукоятка, 1NO+1NC</t>
  </si>
  <si>
    <t>p0810134</t>
  </si>
  <si>
    <t>Перемикач e.mb.bd33 на 3 фіксованих положення "1-0-2" стандартна рукоятка, 2NO</t>
  </si>
  <si>
    <t>p0810137</t>
  </si>
  <si>
    <t>Перемикач з ключем e.mb.bg25.lr на 2 фіксованих положення "1-0", 1NO+1NC (ключ виймається ліворуч)</t>
  </si>
  <si>
    <t>p0810138</t>
  </si>
  <si>
    <t>Перемикач з ключем e.mb.bg45.lrr на 2 фіксованих положення "1-0", 1NO+1NC (ключ виймається ліворуч і праворуч)</t>
  </si>
  <si>
    <t>p0810135</t>
  </si>
  <si>
    <t>Перемикач e.mb.bj25 на 2 фіксованих положення "1-0" подовжена рукоятка, 1NO+1NC</t>
  </si>
  <si>
    <t>p0810136</t>
  </si>
  <si>
    <t>Перемикач e.mb.bj33 на 3 фіксованих положення "1-0-2" подовжена рукоятка, 2NO</t>
  </si>
  <si>
    <t>p0810139</t>
  </si>
  <si>
    <t>Перемикач з підсвіткою e.mb.bk2365 на 2 фіксованих положення зелений</t>
  </si>
  <si>
    <t>p0810140</t>
  </si>
  <si>
    <t>Перемикач з підсвіткою e.mb.bk2465 на 2 фіксованих положення червоний</t>
  </si>
  <si>
    <t>p0810141</t>
  </si>
  <si>
    <t>Перемикач з підсвіткою e.mb.bk2565 на 2 фіксованих положення жовтий</t>
  </si>
  <si>
    <t>2.Перемикачі PB SB</t>
  </si>
  <si>
    <t>p0810006</t>
  </si>
  <si>
    <t>Перемикач e.SB7.72 на 2 положення NO+NC</t>
  </si>
  <si>
    <t>4.Блок-контакти для кнопок і перемикачів</t>
  </si>
  <si>
    <t>1.Блок-контакти для кнопок MB</t>
  </si>
  <si>
    <t>p0810142</t>
  </si>
  <si>
    <t>Додатковий контакт e.mb.be101 (NO)</t>
  </si>
  <si>
    <t>p0810143</t>
  </si>
  <si>
    <t>Додатковий контакт e.mb.be102 (NC)</t>
  </si>
  <si>
    <t>2.Блок-контакти для кнопок і перемикачів CB</t>
  </si>
  <si>
    <t>s008003</t>
  </si>
  <si>
    <t>Блок-контакт e.cb.stand.la.no, зелений нормально-відкритий</t>
  </si>
  <si>
    <t>s008001</t>
  </si>
  <si>
    <t>Блок-контакт e.cb.stand.n.o, зелений нормально-відкритий</t>
  </si>
  <si>
    <t>s008002</t>
  </si>
  <si>
    <t>Блок-контакт e.cb.stand.n.c, червоний нормально-закритий</t>
  </si>
  <si>
    <t>5.Пости кнопкові XAL серії STAND</t>
  </si>
  <si>
    <t>s008006</t>
  </si>
  <si>
    <t>Блок-контакт e.cb.stand.xal.no, зелений нормально-відкритий</t>
  </si>
  <si>
    <t>s008005</t>
  </si>
  <si>
    <t>Блок-контакт e.cb.stand.xal.nс, червоний нормально-закритий</t>
  </si>
  <si>
    <t>s006013</t>
  </si>
  <si>
    <t>Кнопковий пост e.cs.stand.xal.d.101, пуск</t>
  </si>
  <si>
    <t>s006014</t>
  </si>
  <si>
    <t>Кнопковий пост e.cs.stand.xal.d.111, стоп</t>
  </si>
  <si>
    <t>s006007</t>
  </si>
  <si>
    <t>Кнопковий пост e.cs.stand.xal.d.102, I</t>
  </si>
  <si>
    <t>s006009</t>
  </si>
  <si>
    <t>Кнопковий пост e.cs.stand.xal.d.112, O</t>
  </si>
  <si>
    <t>s006008</t>
  </si>
  <si>
    <t>Кнопковий пост e.cs.stand.xal.d.104, start</t>
  </si>
  <si>
    <t>s006010</t>
  </si>
  <si>
    <t>Кнопковий пост e.cs.stand.xal.d.117, stop</t>
  </si>
  <si>
    <t>s006011</t>
  </si>
  <si>
    <t>Кнопковий пост e.cs.stand.xal.d.115, stop, випукла кнопка</t>
  </si>
  <si>
    <t>s006012</t>
  </si>
  <si>
    <t>Кнопковий пост e.cs.stand.xal.d.118, stop, випукла кнопка</t>
  </si>
  <si>
    <t>s006019</t>
  </si>
  <si>
    <t>Кнопковий пост e.cs.stand.xal.d.134, секторний перемикач 0-1</t>
  </si>
  <si>
    <t>s006020</t>
  </si>
  <si>
    <t>Кнопковий пост e.cs.stand.xal.d.144, секторний перемикач 0-1 з ключем</t>
  </si>
  <si>
    <t>s006015</t>
  </si>
  <si>
    <t>Кнопковий пост e.cs.stand.xal.d.164, стоп, кнопка-грибок</t>
  </si>
  <si>
    <t>s006016</t>
  </si>
  <si>
    <t>Кнопковий пост e.cs.stand.xal.d.174, стоп, кнопка-грибок, поворотне повернення</t>
  </si>
  <si>
    <t>s006018</t>
  </si>
  <si>
    <t>Кнопковий пост e.cs.stand.xal.d.211, пуск-стоп</t>
  </si>
  <si>
    <t>s006017</t>
  </si>
  <si>
    <t>Кнопковий пост e.cs.stand.xal.d.213, пуск-стоп</t>
  </si>
  <si>
    <t>s006022</t>
  </si>
  <si>
    <t>Кнопковий пост e.cs.stand.xal.d.361.m, пуск-стоп-індикатор</t>
  </si>
  <si>
    <t>s006021</t>
  </si>
  <si>
    <t>Кнопковий пост e.cs.stand.xal.d.363.m, пуск-стоп-індикатор</t>
  </si>
  <si>
    <t>6.Корпуси кнопкових постів MB, CB</t>
  </si>
  <si>
    <t>p0810012</t>
  </si>
  <si>
    <t>Корпус кнопкового поста e.cb.1, 1 місце</t>
  </si>
  <si>
    <t>p0810013</t>
  </si>
  <si>
    <t>Корпус кнопкового поста e.cb.2, 2 місця</t>
  </si>
  <si>
    <t>p0810014</t>
  </si>
  <si>
    <t>Корпус кнопкового поста e.cb.3, 3 місця</t>
  </si>
  <si>
    <t>p0810146</t>
  </si>
  <si>
    <t>Корпус для 1 кнопки e.mb.box01</t>
  </si>
  <si>
    <t>p0810147</t>
  </si>
  <si>
    <t>Корпус для 2 кнопок e.mb.box02</t>
  </si>
  <si>
    <t>p0810148</t>
  </si>
  <si>
    <t>Корпус для 3 кнопок e.mb.box03</t>
  </si>
  <si>
    <t>p0810149</t>
  </si>
  <si>
    <t>Корпус для 4 кнопок e.mb.box04</t>
  </si>
  <si>
    <t>p0810150</t>
  </si>
  <si>
    <t>Корпус для 5 кнопок e.mb.box05</t>
  </si>
  <si>
    <t>7, Вимикачі кінцеві LIMIT</t>
  </si>
  <si>
    <t>s0070005</t>
  </si>
  <si>
    <t>Вимикач кінцевий e.limitswitch.01 важіль з роликом</t>
  </si>
  <si>
    <t>s0070006</t>
  </si>
  <si>
    <t>Вимикач кінцевий e.limitswitch.02 важіль регульований по довжині</t>
  </si>
  <si>
    <t>s0070007</t>
  </si>
  <si>
    <t>Вимикач кінцевий e.limitswitch.03 важіль з роликом регульований по довжині</t>
  </si>
  <si>
    <t>s0070008</t>
  </si>
  <si>
    <t>Вимикач кінцевий e.limitswitch.04 штовхач</t>
  </si>
  <si>
    <t>s0070009</t>
  </si>
  <si>
    <t>Вимикач кінцевий e.limitswitch.05 штовхач з горизонтальним роликом</t>
  </si>
  <si>
    <t>s0070010</t>
  </si>
  <si>
    <t>Вимикач кінцевий e.limitswitch.06 штовхач з вертикальним роликом</t>
  </si>
  <si>
    <t>s0070011</t>
  </si>
  <si>
    <t>Вимикач кінцевий e.limitswitch.07 важіль-ексцентрик з пластиковим кінцем</t>
  </si>
  <si>
    <t>s0070012</t>
  </si>
  <si>
    <t>Вимикач кінцевий e.limitswitch.08 важіль-ексцентрик зі стрижнем</t>
  </si>
  <si>
    <t>s0070013</t>
  </si>
  <si>
    <t>Вимикач кінцевий e.limitswitch.09 важіль-ексцентрик</t>
  </si>
  <si>
    <t>s0070014</t>
  </si>
  <si>
    <t>Вимикач кінцевий e.limitswitch.10 важіль-ексцентрик з металевим кінцем</t>
  </si>
  <si>
    <t>8.Пости тельферні XAC, COB</t>
  </si>
  <si>
    <t>1.Пости тельферні XAC серії STAND</t>
  </si>
  <si>
    <t>s007004</t>
  </si>
  <si>
    <t>Тельферний пост e.cs.stand.xac.a.271, двокнопковий</t>
  </si>
  <si>
    <t>s007006</t>
  </si>
  <si>
    <t>Тельферний пост e.cs.stand.xac.a.2713.1, двокнопковий з кнопкою стоп</t>
  </si>
  <si>
    <t>s007005</t>
  </si>
  <si>
    <t>Тельферний пост e.cs.stand.xac.a.281, двокнопковий</t>
  </si>
  <si>
    <t>s007007</t>
  </si>
  <si>
    <t>Тельферний пост e.cs.stand.xac.a.2813.1, двокнопковий з кнопкою стоп</t>
  </si>
  <si>
    <t>s007008</t>
  </si>
  <si>
    <t>Тельферний пост e.cs.stand.xac.a.471, чотирикнопковий</t>
  </si>
  <si>
    <t>s007010</t>
  </si>
  <si>
    <t>Тельферний пост e.cs.stand.xac.a.4713.3, чотирикнопковий з кнопкою стоп</t>
  </si>
  <si>
    <t>s007009</t>
  </si>
  <si>
    <t>Тельферний пост e.cs.stand.xac.a.481, чотирикнопковий</t>
  </si>
  <si>
    <t>s007011</t>
  </si>
  <si>
    <t>Тельферний пост e.cs.stand.xac.a.4813.2, чотирикнопковий з кнопкою стоп</t>
  </si>
  <si>
    <t>s007012</t>
  </si>
  <si>
    <t>Тельферний пост e.cs.stand.xac.a.671, шестикнопковий</t>
  </si>
  <si>
    <t>s007013</t>
  </si>
  <si>
    <t>Тельферний пост e.cs.stand.xac.a.681, шестикнопковий</t>
  </si>
  <si>
    <t>s007014</t>
  </si>
  <si>
    <t>Тельферний пост e.cs.stand.xac.a.6813, шестикнопковий</t>
  </si>
  <si>
    <t>s007015</t>
  </si>
  <si>
    <t>Тельферний пост e.cs.stand.xac.a.881, восьмикнопковий</t>
  </si>
  <si>
    <t>s007016</t>
  </si>
  <si>
    <t>Тельферний пост e.cs.stand.xac.a.8813, восьмикнопковий</t>
  </si>
  <si>
    <t>2.Пости тельферні COB серії STAND</t>
  </si>
  <si>
    <t>s007001</t>
  </si>
  <si>
    <t>Тельферний пост e.cob.stand.2, 500В</t>
  </si>
  <si>
    <t>s007002</t>
  </si>
  <si>
    <t>Тельферний пост e.cob.stand.4, 500В</t>
  </si>
  <si>
    <t>s007003</t>
  </si>
  <si>
    <t>Тельферний пост e.cob.stand.6, 500В</t>
  </si>
  <si>
    <t>s0070004</t>
  </si>
  <si>
    <t>Тельферний пост e.cob.stand.8, 500В</t>
  </si>
  <si>
    <t>9. Вимикачі ножні FS</t>
  </si>
  <si>
    <t>p0810151</t>
  </si>
  <si>
    <t>Вимикач ножний e.fs.01 пластиковий</t>
  </si>
  <si>
    <t>p0810152</t>
  </si>
  <si>
    <t>Вимикач ножний e.fs.02 металевий</t>
  </si>
  <si>
    <t>p0810153</t>
  </si>
  <si>
    <t>Вимикач ножний e.fs.03 металевий з захистом</t>
  </si>
  <si>
    <t>10.Перемикачі клавішні KEY</t>
  </si>
  <si>
    <t>s2040001</t>
  </si>
  <si>
    <t>Перемикач клавішний e.switch.key.01, 3 pin, з індикацією</t>
  </si>
  <si>
    <t>s2040002</t>
  </si>
  <si>
    <t>Перемикач клавішний e.switch.key.02, 6 pin, подвійний, з індикацією</t>
  </si>
  <si>
    <t>s2040003</t>
  </si>
  <si>
    <t>Перемикач клавішний e.switch.key.03, 3 pin, з індикацією</t>
  </si>
  <si>
    <t>s2040004</t>
  </si>
  <si>
    <t>Перемикач клавішний e.switch.key.04, 4 pin, без індикації</t>
  </si>
  <si>
    <t>7.Пакетні перемикачі SB серії INDUSTRIAL</t>
  </si>
  <si>
    <t>i0360015</t>
  </si>
  <si>
    <t>Пакетний перемикач в корпусі e.industrial.sb.0-1-2.3.20, 3р, 20А (0-1-2)</t>
  </si>
  <si>
    <t>i0360016</t>
  </si>
  <si>
    <t>Пакетний перемикач в корпусі e.industrial.sb.0-1-2.3.32, 3р, 32А (0-1-2)</t>
  </si>
  <si>
    <t>i0360018</t>
  </si>
  <si>
    <t>Пакетний перемикач e.industrial.sb.0-1-2.5.32, 5р, 32А (0-1-2)</t>
  </si>
  <si>
    <t>i0360001</t>
  </si>
  <si>
    <t>Пакетний перемикач в корпусі e.industrial.sb.1-0.3.20, 3р, 20А (0-1)</t>
  </si>
  <si>
    <t>i0360002</t>
  </si>
  <si>
    <t>Пакетний перемикач в корпусі e.industrial.sb.1-0.3.32, 3р, 32А (0-1)</t>
  </si>
  <si>
    <t>i0360003</t>
  </si>
  <si>
    <t>Пакетний перемикач в корпусі e.industrial.sb.1-0.3.63, 3р, 63А (0-1)</t>
  </si>
  <si>
    <t>i0360004</t>
  </si>
  <si>
    <t>Пакетний перемикач в корпусі e.industrial.sb.1-0.3.100, 3р, 100А (0-1)</t>
  </si>
  <si>
    <t>i0360008</t>
  </si>
  <si>
    <t>Пакетний перемикач в корпусі e.industrial.sb.1-0.4.20, 4р, 20А (0-1)</t>
  </si>
  <si>
    <t>i0360009</t>
  </si>
  <si>
    <t>Пакетний перемикач в корпусі e.industrial.sb.1-0.4.32, 4р, 32А (0-1)</t>
  </si>
  <si>
    <t>i0360020</t>
  </si>
  <si>
    <t>Пакетний перемикач в корпусі e.industrial.sb.1-0.4.40, 4р, 40А (0-1)</t>
  </si>
  <si>
    <t>i0360010</t>
  </si>
  <si>
    <t>Пакетний перемикач в корпусі e.industrial.sb.1-0.4.63, 4р, 63А (0-1)</t>
  </si>
  <si>
    <t>i0360011</t>
  </si>
  <si>
    <t>Пакетний перемикач в корпусі e.industrial.sb.1-0.4.100, 4р, 100А (0-1)</t>
  </si>
  <si>
    <t>i0360005</t>
  </si>
  <si>
    <t>Пакетний перемикач в корпусі e.industrial.sb.1-0-2.3.20, 3р, 20А (1-0-2)</t>
  </si>
  <si>
    <t>i0360017</t>
  </si>
  <si>
    <t>Пакетний перемикач в корпусі e.industrial.sb.1-0-2.3.32, 3р, 32А (1-0-2)</t>
  </si>
  <si>
    <t>i0360006</t>
  </si>
  <si>
    <t>Пакетний перемикач в корпусі e.industrial.sb.1-0-2.3.40, 3р, 40А (1-0-2)</t>
  </si>
  <si>
    <t>i0360019</t>
  </si>
  <si>
    <t>Пакетний перемикач в корпусі e.industrial.sb.1-0-2.3.63, 3р, 63А (1-0-2)</t>
  </si>
  <si>
    <t>i0360007</t>
  </si>
  <si>
    <t>Пакетний перемикач в корпусі e.industrial.sb.1-0-2.3.100, 3р, 100А (1-0-2)</t>
  </si>
  <si>
    <t>i0360012</t>
  </si>
  <si>
    <t>Пакетний перемикач в корпусі e.industrial.sb.1-0-2.4.20, 4р, 20А (1-0-2)</t>
  </si>
  <si>
    <t>i0360013</t>
  </si>
  <si>
    <t>Пакетний перемикач в корпусі e.industrial.sb.1-0-2.4.40, 4р, 40А (1-0-2)</t>
  </si>
  <si>
    <t>i0360014</t>
  </si>
  <si>
    <t>Пакетний перемикач в корпусі e.industrial.sb.1-0-2.4.100, 4р, 100А (1-0-2)</t>
  </si>
  <si>
    <t>8.Пакетні перемикачі LK серії TAREL</t>
  </si>
  <si>
    <t>1.Перемикачі щитові внутрішні с передньою панеллю LK ZP</t>
  </si>
  <si>
    <t>8361-200</t>
  </si>
  <si>
    <t>Пакетний перемикач LK16/1.216-ZP/45 щитовий, з передньою панеллю, 1p, 0-1, 16А</t>
  </si>
  <si>
    <t>8311-200</t>
  </si>
  <si>
    <t>Пакетний перемикач LK16/2.211-ZP/45 щитовий, з передньою панеллю, 3p, 0-1, 16А</t>
  </si>
  <si>
    <t>8331-200</t>
  </si>
  <si>
    <t>Пакетний перемикач LK16/3.323-ZP/45 щитовий, з передньою панеллю, 3p, 1-0-2, 16А</t>
  </si>
  <si>
    <t>8351-200</t>
  </si>
  <si>
    <t>Пакетний перемикач LK16/3.325-ZP/45 щитовий, з передньою панеллю, L-0-P, 16А</t>
  </si>
  <si>
    <t>8321-200</t>
  </si>
  <si>
    <t>Пакетний перемикач LK16/4.322-ZP/45 щитовий, з передньою панеллю, 0-1-2, 16А</t>
  </si>
  <si>
    <t>8341-200</t>
  </si>
  <si>
    <t>Пакетний перемикач LK16/4.324-ZP/45 щитовий, з передньою панеллю, 0-зірка-трикутник, 16А</t>
  </si>
  <si>
    <t>8461-200</t>
  </si>
  <si>
    <t>Пакетний перемикач LK25/1.216-ZP/45 щитовий, з передньою панеллю, 1p, 0-1, 25А</t>
  </si>
  <si>
    <t>8411-200</t>
  </si>
  <si>
    <t>Пакетний перемикач LK25/2.211-ZP/45 щитовий, з передньою панеллю, 3p, 0-1, 25А</t>
  </si>
  <si>
    <t>8431-200</t>
  </si>
  <si>
    <t>Пакетний перемикач LK25/3.323-ZP/45 щитовий, з передньою панеллю, 3p, 1-0-2, 25А</t>
  </si>
  <si>
    <t>8451-200</t>
  </si>
  <si>
    <t>Пакетний перемикач LK25/3.325-ZP/45 щитовий, з передньою панеллю, L-0-P, 25А</t>
  </si>
  <si>
    <t>8421-200</t>
  </si>
  <si>
    <t>Пакетний перемикач LK25/4.322-ZP/45 щитовий, з передньою панеллю, 0-1-2, 25А</t>
  </si>
  <si>
    <t>8441-200</t>
  </si>
  <si>
    <t>Пакетний перемикач LK25/4.324-ZP/45 щитовий, з передньою панеллю, 0-зірка-трикутник, 25А</t>
  </si>
  <si>
    <t>8661-200</t>
  </si>
  <si>
    <t>Пакетний перемикач LK40/1.216-ZP/45 щитовий, з передньою панеллю, 1p, 0-1, 40А</t>
  </si>
  <si>
    <t>8611-200</t>
  </si>
  <si>
    <t>Пакетний перемикач LK40/2.211-ZP/45 щитовий, з передньою панеллю, 3p, 0-1, 40А</t>
  </si>
  <si>
    <t>8631-200</t>
  </si>
  <si>
    <t>Пакетний перемикач LK40/3.323-ZP/45 щитовий, з передньою панеллю, 3p, 1-0-2, 40А</t>
  </si>
  <si>
    <t>8651-200</t>
  </si>
  <si>
    <t>Пакетний перемикач LK40/3.325-ZP/45 щитовий, з передньою панеллю, L-0-P, 40А</t>
  </si>
  <si>
    <t>8621-200</t>
  </si>
  <si>
    <t>Пакетний перемикач LK40/4.322-ZP/45 щитовий, з передньою панеллю, 0-1-2, 40А</t>
  </si>
  <si>
    <t>8641-200</t>
  </si>
  <si>
    <t>Пакетний перемикач LK40/4.324-ZP/45 щитовий, з передньою панеллю, 0-зірка-трикутник, 40А</t>
  </si>
  <si>
    <t>8811-200</t>
  </si>
  <si>
    <t>Пакетний перемикач LK63/2.211-ZP/45 щитовий, з передньою панеллю, 3p, 0-1, 63А</t>
  </si>
  <si>
    <t>8831-200</t>
  </si>
  <si>
    <t>Пакетний перемикач LK63/3.323-ZP/45 щитовий, з передньою панеллю, 3p, 1-0-2, 63А</t>
  </si>
  <si>
    <t>8821-200</t>
  </si>
  <si>
    <t>Пакетний перемикач LK63/4.322-ZP/45 щитовий, з передньою панеллю, 0-1-2, 63А</t>
  </si>
  <si>
    <t>2.Перемикачі щитові внутрішні с передньою панеллю і можливістю опломб. LK ZK</t>
  </si>
  <si>
    <t>8365-200</t>
  </si>
  <si>
    <t>Пакетний перемикач LK16/1.216-ZК/45 щитовий, з передньою панеллю (під пломбування), 1p, 0-1, 16А</t>
  </si>
  <si>
    <t>8315-200</t>
  </si>
  <si>
    <t>Пакетний перемикач LK16/2.211-ZК/45 щитовий, з передньою панеллю (під пломбування), 3p, 0-1, 16А</t>
  </si>
  <si>
    <t>8335-200</t>
  </si>
  <si>
    <t>Пакетний перемикач LK16/3.323-ZК/45 щитовий, з передньою панеллю (під пломбування), 3p, 1-0-2, 16А</t>
  </si>
  <si>
    <t>8325-200</t>
  </si>
  <si>
    <t>Пакетний перемикач LK16/4.322-ZК/45 щитовий, з передньою панеллю (під пломбування), 0-1-2, 16А</t>
  </si>
  <si>
    <t>8465-200</t>
  </si>
  <si>
    <t>Пакетний перемикач LK25/1.216-ZК/45 щитовий, з передньою панеллю (під пломбування), 1p, 0-1, 25А</t>
  </si>
  <si>
    <t>8415-200</t>
  </si>
  <si>
    <t>Пакетний перемикач LK25/2.211-ZК/45 щитовий, з передньою панеллю (під пломбування), 3p, 0-1, 25А</t>
  </si>
  <si>
    <t>8435-200</t>
  </si>
  <si>
    <t>Пакетний перемикач LK25/3.323-ZК/45 щитовий, з передньою панеллю (під пломбування), 3p, 1-0-2, 25А</t>
  </si>
  <si>
    <t>8425-200</t>
  </si>
  <si>
    <t>Пакетний перемикач LK25/4.322-ZК/45 щитовий, з передньою панеллю (під пломбування), 0-1-2, 25А</t>
  </si>
  <si>
    <t>8665-200</t>
  </si>
  <si>
    <t>Пакетний перемикач LK40/1.216-ZК/45 щитовий, з передньою панеллю (під пломбування), 1p, 0-1, 40А</t>
  </si>
  <si>
    <t>8615-200</t>
  </si>
  <si>
    <t>Пакетний перемикач LK40/2.211-ZК/45 щитовий, з передньою панеллю (під пломбування), 3p, 0-1, 40А</t>
  </si>
  <si>
    <t>8635-200</t>
  </si>
  <si>
    <t>Пакетний перемикач LK40/3.323-ZК/45 щитовий, з передньою панеллю (під пломбування), 3p, 1-0-2, 40А</t>
  </si>
  <si>
    <t>8625-200</t>
  </si>
  <si>
    <t>Пакетний перемикач LK40/4.322-ZК/45 щитовий, з передньою панеллю (під пломбування), 0-1-2, 40А</t>
  </si>
  <si>
    <t>8815-200</t>
  </si>
  <si>
    <t>Пакетний перемикач LK63/2.211-ZК/45 щитовий, з передньою панеллю (під пломбування), 3p, 0-1, 63А</t>
  </si>
  <si>
    <t>8835-200</t>
  </si>
  <si>
    <t>Пакетний перемикач LK63/3.323-ZК/45 щитовий, з передньою панеллю (під пломбування), 3p, 1-0-2, 63А</t>
  </si>
  <si>
    <t>8825-200</t>
  </si>
  <si>
    <t>Пакетний перемикач LK63/4.322-ZК/45 щитовий, з передньою панеллю (під пломбування), 0-1-2, 63А</t>
  </si>
  <si>
    <t>3.Перемикачі в корпусі LK OB</t>
  </si>
  <si>
    <t>8364-200</t>
  </si>
  <si>
    <t>Пакетний перемикач LK16/1.216-ОВ/45 в корпусі, 1p, 0-1, 16А, IP44</t>
  </si>
  <si>
    <t>8314-200</t>
  </si>
  <si>
    <t>Пакетний перемикач LK16/2.211-ОВ/45 в корпусі, 3p, 0-1, 16А, IP44</t>
  </si>
  <si>
    <t>8334-200</t>
  </si>
  <si>
    <t>Пакетний перемикач LK16/3.323-ОВ/45 в корпусі, 3p, 1-0-2, 16А, IP44</t>
  </si>
  <si>
    <t>8324-200</t>
  </si>
  <si>
    <t>Пакетний перемикач LK16/4.322-ОВ/45 в корпусі, 0-1-2, 16А, IP44</t>
  </si>
  <si>
    <t>8464-200</t>
  </si>
  <si>
    <t>Пакетний перемикач LK25/1.216-ОВ/45 в корпусі, 1p, 0-1, 25А, IP44</t>
  </si>
  <si>
    <t>8414-200</t>
  </si>
  <si>
    <t>Пакетний перемикач LK25/2.211-ОВ/45 в корпусі, 3p, 0-1, 25А, IP44</t>
  </si>
  <si>
    <t>8434-200</t>
  </si>
  <si>
    <t>Пакетний перемикач LK25/3.323-ОВ/45 в корпусі, 3p, 1-0-2, 25А, IP44</t>
  </si>
  <si>
    <t>8424-200</t>
  </si>
  <si>
    <t>Пакетний перемикач LK25/4.322-ОВ/45 в корпусі, 0-1-2, 25А, IP44</t>
  </si>
  <si>
    <t>8664-200</t>
  </si>
  <si>
    <t>Пакетний перемикач LK40/1.216-ОВ/45 в корпусі, 1p, 0-1, 40А, IP44</t>
  </si>
  <si>
    <t>8614-200</t>
  </si>
  <si>
    <t>Пакетний перемикач LK40/2.211-ОВ/45 в корпусі, 3p, 0-1, 40А, IP44</t>
  </si>
  <si>
    <t>8634-200</t>
  </si>
  <si>
    <t>Пакетний перемикач LK40/3.323-ОВ/45 в корпусі, 3p, 1-0-2, 40А, IP44</t>
  </si>
  <si>
    <t>8624-200</t>
  </si>
  <si>
    <t>Пакетний перемикач LK40/4.322-ОВ/45 в корпусі, 0-1-2, 40А, IP44</t>
  </si>
  <si>
    <t>8814-200</t>
  </si>
  <si>
    <t>Пакетний перемикач LK63/2.211-ОВ/45 в корпусі, 3p, 0-1, 63А, IP44</t>
  </si>
  <si>
    <t>8834-200</t>
  </si>
  <si>
    <t>Пакетний перемикач LK63/3.323-ОВ/45 в корпусі, 3p, 1-0-2, 63А, IP44</t>
  </si>
  <si>
    <t>8824-200</t>
  </si>
  <si>
    <t>Пакетний перемикач LK63/4.322-ОВ/45 в корпусі, 0-1-2, 63А, IP44</t>
  </si>
  <si>
    <t>4.Перемикачі в корпусі з можливістю опломбування LK OK</t>
  </si>
  <si>
    <t>8368-200</t>
  </si>
  <si>
    <t>Пакетний перемикач LK16/1.216-ОК/45 в корпусі (під пломбування), 1p, 0-1, 16А, IP44</t>
  </si>
  <si>
    <t>8318-200</t>
  </si>
  <si>
    <t>Пакетний перемикач LK16/2.211-ОК/45 в корпусі (під пломбування), 3p, 0-1, 16А, IP44</t>
  </si>
  <si>
    <t>8338-200</t>
  </si>
  <si>
    <t>Пакетний перемикач LK16/3.323-ОК/45 в корпусі (під пломбування), 3p, 1-0-2, 16А, IP44</t>
  </si>
  <si>
    <t>8328-200</t>
  </si>
  <si>
    <t>Пакетний перемикач LK16/4.322-ОК/45 в корпусі (під пломбування), 0-1-2, 16А, IP44</t>
  </si>
  <si>
    <t>8468-200</t>
  </si>
  <si>
    <t>Пакетний перемикач LK25/1.216-ОК/45 в корпусі (під пломбування), 1p, 0-1, 25А, IP44</t>
  </si>
  <si>
    <t>8418-200</t>
  </si>
  <si>
    <t>Пакетний перемикач LK25/2.211-ОК/45 в корпусі (під пломбування), 3p, 0-1, 25А, IP44</t>
  </si>
  <si>
    <t>8438-200</t>
  </si>
  <si>
    <t>Пакетний перемикач LK25/3.323-ОК/45 в корпусі (під пломбування), 3p, 1-0-2, 25А, IP44</t>
  </si>
  <si>
    <t>8428-200</t>
  </si>
  <si>
    <t>Пакетний перемикач LK25/4.322-ОК/45 в корпусі (під пломбування), 0-1-2, 25А, IP44</t>
  </si>
  <si>
    <t>8668-200</t>
  </si>
  <si>
    <t>Пакетний перемикач LK40/1.216-ОК/45 в корпусі (під пломбування), 1p, 0-1, 40А, IP44</t>
  </si>
  <si>
    <t>8618-200</t>
  </si>
  <si>
    <t>Пакетний перемикач LK40/2.211-ОК/45 в корпусі (під пломбування), 3p, 0-1, 40А, IP44</t>
  </si>
  <si>
    <t>8638-200</t>
  </si>
  <si>
    <t>Пакетний перемикач LK40/3.323-ОК/45 в корпусі (під пломбування), 3p, 1-0-2, 40А, IP44</t>
  </si>
  <si>
    <t>8628-200</t>
  </si>
  <si>
    <t>Пакетний перемикач LK40/4.322-ОК/45 в корпусі (під пломбування), 0-1-2, 40А, IP44</t>
  </si>
  <si>
    <t>8818-200</t>
  </si>
  <si>
    <t>Пакетний перемикач LK63/2.211-ОК/45 в корпусі (під пломбування), 3p, 0-1, 63А, IP44</t>
  </si>
  <si>
    <t>8838-200</t>
  </si>
  <si>
    <t>Пакетний перемикач LK63/3.323-ОК/45 в корпусі (під пломбування), 3p, 1-0-2, 63А, IP44</t>
  </si>
  <si>
    <t>8828-200</t>
  </si>
  <si>
    <t>Пакетний перемикач LK63/4.322-ОК/45 в корпусі (під пломбування), 0-1-2, 63А, IP44</t>
  </si>
  <si>
    <t>5.Перемикачі щитові на DIN-рейку LK SP</t>
  </si>
  <si>
    <t>8367-200</t>
  </si>
  <si>
    <t>Пакетний перемикач LK16/1.216-ZP/45 щитовий, на DIN - рейку, 1p, 0-1, 16А</t>
  </si>
  <si>
    <t>8317-200</t>
  </si>
  <si>
    <t>Пакетний перемикач LK16/2.211-SP/45 щитовий, на DIN - рейку, 3p, 0-1, 16А</t>
  </si>
  <si>
    <t>8337-200</t>
  </si>
  <si>
    <t>Пакетний перемикач LK16/3.323-SP/45 щитовий, на DIN - рейку, 3p, 1-0-2, 16А</t>
  </si>
  <si>
    <t>8327-200</t>
  </si>
  <si>
    <t>Пакетний перемикач LK16/4.322-SP/45 щитовий, на DIN - рейку, 0-1-2, 16А</t>
  </si>
  <si>
    <t>8467-200</t>
  </si>
  <si>
    <t>Пакетний перемикач LK25/1.216-SP/45 щитовий, на DIN - рейку, 1p, 0-1, 25А</t>
  </si>
  <si>
    <t>8417-200</t>
  </si>
  <si>
    <t>Пакетний перемикач LK25/2.211-SP/45 щитовий, на DIN - рейку, 3p, 0-1, 25А</t>
  </si>
  <si>
    <t>8437-200</t>
  </si>
  <si>
    <t>Пакетний перемикач LK25/3.323-SP/45 щитовий, на DIN - рейку, 3p, 1-0-2, 25А</t>
  </si>
  <si>
    <t>8427-200</t>
  </si>
  <si>
    <t>Пакетний перемикач LK25/4.322-SP/45 щитовий, на DIN - рейку, 0-1-2, 25А</t>
  </si>
  <si>
    <t>8667-200</t>
  </si>
  <si>
    <t>Пакетний перемикач LK40/1.216-SP/45 щитовий, на DIN - рейку, 1p, 0-1, 40А</t>
  </si>
  <si>
    <t>8617-200</t>
  </si>
  <si>
    <t>Пакетний перемикач LK40/2.211-SP/45 щитовий, на DIN - рейку, 3p, 0-1, 40А</t>
  </si>
  <si>
    <t>8637-200</t>
  </si>
  <si>
    <t>Пакетний перемикач LK40/3.323-SP/45 щитовий, на DIN - рейку, 3p, 1-0-2, 40А</t>
  </si>
  <si>
    <t>8627-200</t>
  </si>
  <si>
    <t>Пакетний перемикач LK40/4.322-SP/45 щитовий, на DIN - рейку, 0-1-2, 40А</t>
  </si>
  <si>
    <t>8817-200</t>
  </si>
  <si>
    <t>Пакетний перемикач LK63/2.211-SP/45 щитовий, на DIN - рейку, 3p, 0-1, 63А</t>
  </si>
  <si>
    <t>8837-200</t>
  </si>
  <si>
    <t>Пакетний перемикач LK63/3.323-SP/45 щитовий, на DIN - рейку, 3p, 1-0-2, 63А</t>
  </si>
  <si>
    <t>8827-200</t>
  </si>
  <si>
    <t>Пакетний перемикач LK63/4.322-SP/45 щитовий, на DIN - рейку, 0-1-2, 63А</t>
  </si>
  <si>
    <t>9.Пакетні перемикачі амперметра і вольтметра</t>
  </si>
  <si>
    <t>s064001</t>
  </si>
  <si>
    <t>Перемикач амперметра щитовий e.switch.a20 20А</t>
  </si>
  <si>
    <t>s064002</t>
  </si>
  <si>
    <t>Перемикач вольтметра щитовий e.switch.v 600В на 7 положень</t>
  </si>
  <si>
    <t>4.Реле контролю та управління</t>
  </si>
  <si>
    <t>1.Реле часу і таймери T</t>
  </si>
  <si>
    <t>i0310006</t>
  </si>
  <si>
    <t>Таймер освітлення електромеханічний e.control.t01</t>
  </si>
  <si>
    <t>i0310007</t>
  </si>
  <si>
    <t>Таймер освітлення електронний e.control.t02</t>
  </si>
  <si>
    <t>i0310008</t>
  </si>
  <si>
    <t>Таймер електромеханічний 18мм e.control.t03</t>
  </si>
  <si>
    <t>i0310009</t>
  </si>
  <si>
    <t>Таймер електромеханічний e.control.t04</t>
  </si>
  <si>
    <t>p0690004</t>
  </si>
  <si>
    <t>Реле часу багатофункціональне e.control.t06</t>
  </si>
  <si>
    <t>p0690005</t>
  </si>
  <si>
    <t>Реле часу (затримка вимкнення під час відключення живлення) e.control.t07</t>
  </si>
  <si>
    <t>i0310011</t>
  </si>
  <si>
    <t>Таймер електронний e.control.t08</t>
  </si>
  <si>
    <t>i0310012</t>
  </si>
  <si>
    <t>Таймер електронний двоканальний e.control.t09</t>
  </si>
  <si>
    <t>i0310013</t>
  </si>
  <si>
    <t>Таймер астрономічний двоканальний e.control.t10</t>
  </si>
  <si>
    <t>i0310027</t>
  </si>
  <si>
    <t>Реле затримки часу на вмикання 0,3-30сек e.control.t15</t>
  </si>
  <si>
    <t>i0310028</t>
  </si>
  <si>
    <t>Реле тимчасового ввімкнення (0,3-30 сек) при подачі напруги e.control.t16</t>
  </si>
  <si>
    <t>i0310029</t>
  </si>
  <si>
    <t>Реле часу асиметричного повторення циклу e.control.t17</t>
  </si>
  <si>
    <t>i0310030</t>
  </si>
  <si>
    <t>Реле часу зірка/трикутник e.control.t18</t>
  </si>
  <si>
    <t>2.Реле контролю напруги V</t>
  </si>
  <si>
    <t>p0690017</t>
  </si>
  <si>
    <t>Реле контролю напруги однофазне e.control.v00, 63А</t>
  </si>
  <si>
    <t>p0690006</t>
  </si>
  <si>
    <t>Реле контролю напруги однофазне e.control.v01, 25А</t>
  </si>
  <si>
    <t>p0690007</t>
  </si>
  <si>
    <t>Реле контролю напруги однофазне e.control.v02</t>
  </si>
  <si>
    <t>p0690008</t>
  </si>
  <si>
    <t>Реле контролю напруги трифазне нерегульоване e.control.v03</t>
  </si>
  <si>
    <t>p0690020</t>
  </si>
  <si>
    <t>Реле контролю напруги трифазне нерегульоване e.control.v03m</t>
  </si>
  <si>
    <t>p0690021</t>
  </si>
  <si>
    <t>Реле контролю напруги трифазне регульоване e.control.v04m</t>
  </si>
  <si>
    <t>p0690011</t>
  </si>
  <si>
    <t>Реле контролю напруги трифазне цифрове e.control.v06</t>
  </si>
  <si>
    <t>p0690013</t>
  </si>
  <si>
    <t>Реле контролю напруги однофазне 32А з індикацією e.control.v08</t>
  </si>
  <si>
    <t>p0690014</t>
  </si>
  <si>
    <t>Реле контролю напруги однофазне 63А з індикацією e.control.v09</t>
  </si>
  <si>
    <t>p0690015</t>
  </si>
  <si>
    <t>Реле контролю напруги та струму однофазне 25А з індикацією e.control.v10</t>
  </si>
  <si>
    <t>p0690016</t>
  </si>
  <si>
    <t>Реле вибору фаз 16А e.control.v11</t>
  </si>
  <si>
    <t>i0620001</t>
  </si>
  <si>
    <t>Реле напруги e.industrial.vpr.20, 20А</t>
  </si>
  <si>
    <t>3.Реле захисту двигуна M</t>
  </si>
  <si>
    <t>p0690001</t>
  </si>
  <si>
    <t>Реле захисту двигуна e.control.m01, 12-60А</t>
  </si>
  <si>
    <t>p0690002</t>
  </si>
  <si>
    <t>Реле захисту двигуна e.control.m02, 40-200А</t>
  </si>
  <si>
    <t>p0690003</t>
  </si>
  <si>
    <t>Реле захисту двигуна e.control.m03, 80-400А</t>
  </si>
  <si>
    <t>p0690018</t>
  </si>
  <si>
    <t>Реле захисту двигуна e.control.m04, 1-5А</t>
  </si>
  <si>
    <t>p0690019</t>
  </si>
  <si>
    <t>Реле захисту двигуна e.control.m05, 4-20А</t>
  </si>
  <si>
    <t>4.Реле потужності W</t>
  </si>
  <si>
    <t>i0310025</t>
  </si>
  <si>
    <t>Реле контролю струму (приоритетне) e.control.w02</t>
  </si>
  <si>
    <t>i0310026</t>
  </si>
  <si>
    <t>Реле контролю погружного насоса однофазне e.control.w03</t>
  </si>
  <si>
    <t>5.Реле сутінкове S</t>
  </si>
  <si>
    <t>i0310014</t>
  </si>
  <si>
    <t>Реле сутінкове e.control.s01 з зовнішнім датчиком</t>
  </si>
  <si>
    <t>6.Реле імпульсне I</t>
  </si>
  <si>
    <t>i0310015</t>
  </si>
  <si>
    <t>Реле імпульсне e.control.i01, 10A, 230V</t>
  </si>
  <si>
    <t>7.Реле контролю температури H</t>
  </si>
  <si>
    <t>i0310016</t>
  </si>
  <si>
    <t>Реле контролю температури e.control.h01, 16A, АС/DC 24-240, -5…+40 °С</t>
  </si>
  <si>
    <t>i0310017</t>
  </si>
  <si>
    <t>Реле контролю температури e.control.h02, 16A, АС/DC 24-240, -25…+130 °С</t>
  </si>
  <si>
    <t>8.Реле розеточні T, V, W, D</t>
  </si>
  <si>
    <t>i0310024</t>
  </si>
  <si>
    <t>Реле захисного відключення розеточне e.control.d01</t>
  </si>
  <si>
    <t>i0310018</t>
  </si>
  <si>
    <t>Таймер електромеханічний розеточний добовий e.control.t11</t>
  </si>
  <si>
    <t>i0310019</t>
  </si>
  <si>
    <t>Таймер електромеханічний розеточний тижневий e.control.t12</t>
  </si>
  <si>
    <t>i0310020</t>
  </si>
  <si>
    <t>Таймер електронний розеточний e.control.t13</t>
  </si>
  <si>
    <t>i0310021</t>
  </si>
  <si>
    <t>Таймер електронний розеточний e.control.t14</t>
  </si>
  <si>
    <t>i0310022</t>
  </si>
  <si>
    <t>Реле контролю напруги однофазне розеточне e.control.v07</t>
  </si>
  <si>
    <t>i0310023</t>
  </si>
  <si>
    <t>Реле контролю активної потужності однофазне розеточний e.control.w01</t>
  </si>
  <si>
    <t>9.Реле захисту силові</t>
  </si>
  <si>
    <t>i0640008</t>
  </si>
  <si>
    <t>Реле струмового захисту e.relay.kcr.151</t>
  </si>
  <si>
    <t>i0640009</t>
  </si>
  <si>
    <t>Реле пробою струму на землю зі зворотньо-залежною затримкою часу e.relay.kcr.153</t>
  </si>
  <si>
    <t>i0640006</t>
  </si>
  <si>
    <t>Реле пробою струму на землю e.relay.ker.141</t>
  </si>
  <si>
    <t>i0640007</t>
  </si>
  <si>
    <t>Реле захисту від замикань на землю e.relay.ker.152</t>
  </si>
  <si>
    <t>i0640004</t>
  </si>
  <si>
    <t>Реле диференціального струму e.relay.klr.121</t>
  </si>
  <si>
    <t>i0640005</t>
  </si>
  <si>
    <t>Реле диференціального струму  e.relay.klr.123e модульне</t>
  </si>
  <si>
    <t>i0640001</t>
  </si>
  <si>
    <t>Вимірювальна котушка  e.trans.cur.kct.40s для реле типу klr, 250/3</t>
  </si>
  <si>
    <t>i0640002</t>
  </si>
  <si>
    <t>Вимірювальна котушка  e.trans.cur.kct.55s для реле типу klr, 400/3</t>
  </si>
  <si>
    <t>i0640003</t>
  </si>
  <si>
    <t>Вимірювальна котушка  e.trans.cur.kct.80s для реле типу klr, 630/3</t>
  </si>
  <si>
    <t>5.Шафи та корпуси</t>
  </si>
  <si>
    <t>1.Корпуса пластикові</t>
  </si>
  <si>
    <t>1.Корпуса пластикові Multusan серії STAND</t>
  </si>
  <si>
    <t>s0290005</t>
  </si>
  <si>
    <t>Корпус пластиковий 2-модульний e.plbox.stand.n.02m, навісний Multusan</t>
  </si>
  <si>
    <t>s0290006</t>
  </si>
  <si>
    <t>Корпус пластиковий 4-модульний e.plbox.stand.n.04m, навісний Multusan</t>
  </si>
  <si>
    <t>s0290007</t>
  </si>
  <si>
    <t>Корпус пластиковий 6-модульний e.plbox.stand.n.06m, навісний Multusan</t>
  </si>
  <si>
    <t>s0290008</t>
  </si>
  <si>
    <t>Корпус пластиковий 9-модульний e.plbox.stand.n.09m, навісний Multusan</t>
  </si>
  <si>
    <t>s0290009</t>
  </si>
  <si>
    <t>Корпус пластиковий 12-модульний e.plbox.stand.n.12m, навісний Multusan</t>
  </si>
  <si>
    <t>s0290010</t>
  </si>
  <si>
    <t>Корпус пластиковий 16-модульний e.plbox.stand.n.16m, навісний Multusan</t>
  </si>
  <si>
    <t>s0290011</t>
  </si>
  <si>
    <t>Корпус пластиковий 24-модульний e.plbox.stand.n.24m, навісний Multusan</t>
  </si>
  <si>
    <t>s0290012</t>
  </si>
  <si>
    <t>Корпус пластиковий 36-модульний e.plbox.stand.n.36m, навісний Multusan</t>
  </si>
  <si>
    <t>s0290013</t>
  </si>
  <si>
    <t>Корпус пластиковий 2-модульний e.plbox.stand.w.02m, що вбудовується Multusan</t>
  </si>
  <si>
    <t>s0290014</t>
  </si>
  <si>
    <t>Корпус пластиковий 4-модульний e.plbox.stand.w.04m, що вбудовується Multusan</t>
  </si>
  <si>
    <t>s0290015</t>
  </si>
  <si>
    <t>Корпус пластиковий 6-модульний e.plbox.stand.w.06m, що вбудовується Multusan</t>
  </si>
  <si>
    <t>s0290016</t>
  </si>
  <si>
    <t>Корпус пластиковий 9-модульний e.plbox.stand.w.09m, що вбудовується Multusan</t>
  </si>
  <si>
    <t>s0290017</t>
  </si>
  <si>
    <t>Корпус пластиковий 12-модульний e.plbox.stand.w.12m, що вбудовується Multusan</t>
  </si>
  <si>
    <t>s0290018</t>
  </si>
  <si>
    <t>Корпус пластиковий 16-модульний e.plbox.stand.w.16m, що вбудовується Multusan</t>
  </si>
  <si>
    <t>s0290019</t>
  </si>
  <si>
    <t>Корпус пластиковий 24-модульний e.plbox.stand.w.24m, що вбудовується Multusan</t>
  </si>
  <si>
    <t>s0290020</t>
  </si>
  <si>
    <t>Корпус пластиковий 36-модульний e.plbox.stand.w.36m, що вбудовується Multusan</t>
  </si>
  <si>
    <t>s0290021</t>
  </si>
  <si>
    <t>Заглушка модульна e.terminal.plbox.stand.12   12-модульна</t>
  </si>
  <si>
    <t>0010260000020000</t>
  </si>
  <si>
    <t>Заглушка пластикова для щитка, Mutlusan</t>
  </si>
  <si>
    <t>2.Корпуса пластикові серії STAND</t>
  </si>
  <si>
    <t>CSU1011</t>
  </si>
  <si>
    <t>Корпус пластиковий 1-модульний e.plbox.stand.01, без дверцят</t>
  </si>
  <si>
    <t>CSU1012</t>
  </si>
  <si>
    <t>Корпус пластиковий 2-модульний e.plbox.stand.02, без дверцят</t>
  </si>
  <si>
    <t>CSU1034</t>
  </si>
  <si>
    <t>Корпус пластиковий 4-модульний e.plbox.stand.04, без дверцят</t>
  </si>
  <si>
    <t>CSU1035</t>
  </si>
  <si>
    <t>Корпус пластиковий 8-модульний e.plbox.stand.08, без дверцят</t>
  </si>
  <si>
    <t>CBU905</t>
  </si>
  <si>
    <t>Корпус пластиковий 5-модульний e.plbox.stand.n.05, навісний</t>
  </si>
  <si>
    <t>CBU908</t>
  </si>
  <si>
    <t>Корпус пластиковий 8-модульний e.plbox.stand.n.08, навісний</t>
  </si>
  <si>
    <t>CBU912</t>
  </si>
  <si>
    <t>Корпус пластиковий 12-модульний e.plbox.stand.n.12, навісний</t>
  </si>
  <si>
    <t>CBU924</t>
  </si>
  <si>
    <t>Корпус пластиковий 24-модульний e.plbox.stand.n.24, навісний</t>
  </si>
  <si>
    <t>CBA905</t>
  </si>
  <si>
    <t>Корпус пластиковий 5-модульний e.plbox.stand.w.05, що вбудовується</t>
  </si>
  <si>
    <t>CBA908</t>
  </si>
  <si>
    <t>Корпус пластиковий 8-модульний e.plbox.stand.w.08, що вбудовується</t>
  </si>
  <si>
    <t>CBA924</t>
  </si>
  <si>
    <t>Корпус пластиковий 24-модульний e.plbox.stand.w.24, що вбудовується</t>
  </si>
  <si>
    <t>CBA936</t>
  </si>
  <si>
    <t>Корпус пластиковий 36-модульний e.plbox.stand.w.36, що вбудовується</t>
  </si>
  <si>
    <t>3.Корпуса обліку пластикові українського виробництва серії STAND</t>
  </si>
  <si>
    <t>s0110001</t>
  </si>
  <si>
    <t>Шафа пластикова e.mbox.stand.plastic.n.f1 під однофазний лічильник, навісна, з комплектом метизів</t>
  </si>
  <si>
    <t>s0110005</t>
  </si>
  <si>
    <t>Шафа пластикова e.mbox.stand.plastic.n.f1.pe прозора, під однофазний лічильник, навісна</t>
  </si>
  <si>
    <t>s0110002</t>
  </si>
  <si>
    <t>Шафа пластикова e.mbox.stand.plastic.n.f1.прозора, під однофазний лічильник, навісна з комплектом метизів</t>
  </si>
  <si>
    <t>s0110003</t>
  </si>
  <si>
    <t>Шафа пластикова e.mbox.stand.plastic.n.f3, під трифазний лічильник, навісна, з комплектом метизів</t>
  </si>
  <si>
    <t>s0110004</t>
  </si>
  <si>
    <t>Шафа пластикова e.mbox.stand.plastic.n.f3.прозора, під трифазний лічильник, навісна, з комплектом метизів</t>
  </si>
  <si>
    <t>s0110008</t>
  </si>
  <si>
    <t>Шафа пластикова КДЕ-1 під однофазний лічильник, навісна</t>
  </si>
  <si>
    <t>s0110007</t>
  </si>
  <si>
    <t>Шафа пластикова КДЕ-3 new під одно-трифазний електронний лічильник, навісна</t>
  </si>
  <si>
    <t>4.Панелі для установки лічильників українського виробництва</t>
  </si>
  <si>
    <t>s030001</t>
  </si>
  <si>
    <t>Панель e.panel.stand.f.1 для установки однофазного лічильника</t>
  </si>
  <si>
    <t>s030002</t>
  </si>
  <si>
    <t>Панель e.panel.stand.f.3 для установки трифазного лічильника</t>
  </si>
  <si>
    <t>5.Корпуса пластикові модульні серії TAREL</t>
  </si>
  <si>
    <t>6670-103</t>
  </si>
  <si>
    <t>Корпус пластиковий, навісний (NT) 3-модульний, однорядний, без дверцят, IP 30</t>
  </si>
  <si>
    <t>6666-105непр</t>
  </si>
  <si>
    <t>Корпус пластиковий, що вбудовується (PT) 5-модульний, однорядний., IP40, з непрозорими дверцятами</t>
  </si>
  <si>
    <t>6667-109непр</t>
  </si>
  <si>
    <t>Корпус пластиковий, що вбудовується (PT) 9-модульний, однорядний, IP 30, з непрозорими дверцятами</t>
  </si>
  <si>
    <t>6668-113непр</t>
  </si>
  <si>
    <t>Корпус пластиковий, що вбудовується (PT) 13-модульний, однорядний, IP30, з непрозорими дверцятами</t>
  </si>
  <si>
    <t>6661-105непр</t>
  </si>
  <si>
    <t>Корпус пластиковий, навісний (NT) 5-модульний, однорядний, IP 40, з непрозорими дверцятами</t>
  </si>
  <si>
    <t>6662-109непр</t>
  </si>
  <si>
    <t>Корпус пластиковий, навісний (NT) 9-модульний, однорядний, IP 40, з непрозорими дверцятами</t>
  </si>
  <si>
    <t>6663-113непр</t>
  </si>
  <si>
    <t>Корпус пластиковий, навісний (NT) 13-модульний, однорядний, IP 40, з непрозорими дверцятами</t>
  </si>
  <si>
    <t>6665-118непр</t>
  </si>
  <si>
    <t>Корпус пластиковий, навісний (NT) 18-модульний, однорядний, IP 40, з непрозорими дверцятами</t>
  </si>
  <si>
    <t>6664-126непр</t>
  </si>
  <si>
    <t>Корпус пластиковий, навісний (NT) 26-модульний, дворядний, IP 40, з непрозорими дверцятами</t>
  </si>
  <si>
    <t>6672-137непр</t>
  </si>
  <si>
    <t>Корпус пластиковий, навісний (NT) 37-модульний, трирядний, IP 40, з непрозорими дверцятами</t>
  </si>
  <si>
    <t>6661-205непр</t>
  </si>
  <si>
    <t>Корпус пластиковий, навісний (NT) 5-модульний, однорядний, IP 55, з непрозорими дверцятами</t>
  </si>
  <si>
    <t>6663-213непр</t>
  </si>
  <si>
    <t>Корпус пластиковий, навісний (NT) 13-модульний, однорядний, IP 55, з непрозорими дверцятами</t>
  </si>
  <si>
    <t>6665-218непр</t>
  </si>
  <si>
    <t>Корпус пластиковий, навісний (NT) 18-модульний, однорядний, IP 55, з непрозорими дверцятами</t>
  </si>
  <si>
    <t>6664-226непр</t>
  </si>
  <si>
    <t>Корпус пластиковий, навісний (NT) 26-модульний, дворядний, IP 55, з непрозорими дверцятами</t>
  </si>
  <si>
    <t>6672-237</t>
  </si>
  <si>
    <t>Корпус пластиковий, навісний (NT) 37-модульний, трирядний, IP 55, з непрозорими дверцятами</t>
  </si>
  <si>
    <t>6666-105</t>
  </si>
  <si>
    <t>Корпус пластиковий, що вбудовується (PT) 5-модульний, однорядний, IP 40</t>
  </si>
  <si>
    <t>6667-109</t>
  </si>
  <si>
    <t>Корпус пластиковий, що вбудовується (PT) 9-модульний, однорядний, IP 30</t>
  </si>
  <si>
    <t>6668-113</t>
  </si>
  <si>
    <t>Корпус пластиковий, що вбудовується (PT) 13-модульний, однорядний, IP 30</t>
  </si>
  <si>
    <t>6661-105</t>
  </si>
  <si>
    <t>Корпус пластиковий, навісний (NT) 5-модульний, однорядний, IP 40</t>
  </si>
  <si>
    <t>6662-109</t>
  </si>
  <si>
    <t>Корпус пластиковий, навісний (NT) 9-модульний, однорядний, IP 40</t>
  </si>
  <si>
    <t>6663-113</t>
  </si>
  <si>
    <t>Корпус пластиковий, навісний (NT) 13-модульний, однорядний, IP 40</t>
  </si>
  <si>
    <t>6665-118</t>
  </si>
  <si>
    <t>Корпус пластиковий, навісний (NT) 18-модульний, однорядний, IP 40</t>
  </si>
  <si>
    <t>6664-126</t>
  </si>
  <si>
    <t>Корпус пластиковий, навісний (NT) 26-модульний, дворядний, IP 40</t>
  </si>
  <si>
    <t>6671-137</t>
  </si>
  <si>
    <t>Корпус пластиковий, навісний (NT) 37-модульний, трирядний, IP 40</t>
  </si>
  <si>
    <t>6661-205</t>
  </si>
  <si>
    <t>Корпус пластиковий, навісний (NT) 5-модульний, однорядний, IP 55</t>
  </si>
  <si>
    <t>6662-209</t>
  </si>
  <si>
    <t>Корпус пластиковий, навісний (NT) 9-модульний, однорядний, IP 55</t>
  </si>
  <si>
    <t>6663-213</t>
  </si>
  <si>
    <t>Корпус пластиковий, навісний (NT) 13-модульний, однорядний, IP 55</t>
  </si>
  <si>
    <t>6665-218</t>
  </si>
  <si>
    <t>Корпус пластиковий, навісний (NT) 18-модульний, однорядний, IP 55</t>
  </si>
  <si>
    <t>6664-226</t>
  </si>
  <si>
    <t>Корпус пластиковий, навісний (NT) 26-модульний, дворядний, IP 55</t>
  </si>
  <si>
    <t>6671-237</t>
  </si>
  <si>
    <t>Корпус пластиковий, навісний (NT) 37-модульний, трирядний, IP 55</t>
  </si>
  <si>
    <t>6. Шафи пластикові удароміцні модульні внутрішні IP40</t>
  </si>
  <si>
    <t>CP4002</t>
  </si>
  <si>
    <t>Шафа удароміцна модульна e.plbox.w.12.tr, що вбудовується</t>
  </si>
  <si>
    <t>CP4004</t>
  </si>
  <si>
    <t>Шафа удароміцна модульна e.plbox.w.24.tr, що вбудовується</t>
  </si>
  <si>
    <t>CP4006</t>
  </si>
  <si>
    <t>Шафа удароміцна модульна e.plbox.w.36.tr, що вбудовується</t>
  </si>
  <si>
    <t>CP4007</t>
  </si>
  <si>
    <t>Шафа удароміцна модульна e.plbox.w.54.tr, що вбудовується</t>
  </si>
  <si>
    <t>CP4008</t>
  </si>
  <si>
    <t>Шафа удароміцна модульна e.plbox.w.72.tr, що вбудовується</t>
  </si>
  <si>
    <t>7.Шафи пластикові удароміцні IP65</t>
  </si>
  <si>
    <t>Шафа удароміцна підлогова</t>
  </si>
  <si>
    <t>CP5502</t>
  </si>
  <si>
    <t>Шафа удароміцна з АБС-пластика e.plbox.nap.500.700.245.3f.16m.8m.,blank, 500х700х245мм, IP65, з  панеллю під 3 - фазний лічильник та 16 модулів та 8 розеток</t>
  </si>
  <si>
    <t>Шафи удароміцні з монтажною панеллю і непрозорими дверцятами</t>
  </si>
  <si>
    <t>CP5001</t>
  </si>
  <si>
    <t>Шафа удароміцна з АБС-пластика e.plbox.210.280.130.blank, 210х280х130мм, IP65</t>
  </si>
  <si>
    <t>CP5002</t>
  </si>
  <si>
    <t>Шафа удароміцна з АБС-пластика e.plbox.250.330.130.blank, 250х330х130мм, IP65</t>
  </si>
  <si>
    <t>CP5003</t>
  </si>
  <si>
    <t>Шафа удароміцна з АБС-пластика e.plbox.300.400.165.blank, 300х400х165мм, IP65</t>
  </si>
  <si>
    <t>CP5003D</t>
  </si>
  <si>
    <t>Шафа удароміцна з АБС-пластика e.plbox.300.400.195.blank, 300х400х195мм, IP65</t>
  </si>
  <si>
    <t>CP5007</t>
  </si>
  <si>
    <t>Шафа удароміцна з АБС-пластика e.plbox.350.500.195.blank, 350х500х195мм, IP65</t>
  </si>
  <si>
    <t>CP5004</t>
  </si>
  <si>
    <t>Шафа удароміцна з АБС-пластика e.plbox.400.500.175.blank, 400х500х175мм, IP65</t>
  </si>
  <si>
    <t>CP5005</t>
  </si>
  <si>
    <t>Шафа удароміцна з АБС-пластика e.plbox.400.600.200.blank, 400х600х200мм, IP65</t>
  </si>
  <si>
    <t>CP5008</t>
  </si>
  <si>
    <t>Шафа удароміцна з АБС-пластика e.plbox.500.600.220.blank, 500х600х220мм, IP65</t>
  </si>
  <si>
    <t>CP5006</t>
  </si>
  <si>
    <t>Шафа удароміцна з АБС-пластика e.plbox.500.700.245.blank, 500х700х245мм, IP65</t>
  </si>
  <si>
    <t>CP5009</t>
  </si>
  <si>
    <t>Шафа удароміцна з АБС-пластика e.plbox.600.800.260.blank, 600х800х260мм, IP65</t>
  </si>
  <si>
    <t>Шафи удароміцні з монтажною панеллю і прозорими дверцятами</t>
  </si>
  <si>
    <t>CP5011</t>
  </si>
  <si>
    <t>Шафа удароміцна з АБС-пластика e.plbox.210.280.130.tr, 210х280х130мм, IP65 з прозорими дверцятами</t>
  </si>
  <si>
    <t>CP5012</t>
  </si>
  <si>
    <t>Шафа удароміцна з АБС-пластика e.plbox.250.330.130.tr, 250х330х130мм, IP65 з прозорими дверцятами</t>
  </si>
  <si>
    <t>CP5013</t>
  </si>
  <si>
    <t>Шафа удароміцна з АБС-пластика e.plbox.300.400.165.tr, 300х400х165мм, IP65 з прозорими дверцятами</t>
  </si>
  <si>
    <t>CP5013D</t>
  </si>
  <si>
    <t>Шафа удароміцна з АБС-пластика e.plbox.300.400.195.tr, 300х400х195мм, IP65 з прозорими дверцятами</t>
  </si>
  <si>
    <t>CP5017</t>
  </si>
  <si>
    <t>Шафа удароміцна з АБС-пластика e.plbox.350.500.195.tr, 350х500х195мм, IP65 з прозорими дверцятами</t>
  </si>
  <si>
    <t>CP5014</t>
  </si>
  <si>
    <t>Шафа удароміцна з АБС-пластика e.plbox.400.500.175.tr, 400х500х175мм, IP65 з прозорими дверцятами</t>
  </si>
  <si>
    <t>CP5015</t>
  </si>
  <si>
    <t>Шафа удароміцна з АБС-пластика e.plbox.400.600.200.tr, 400х600х200мм, IP65 з прозорими дверцятами</t>
  </si>
  <si>
    <t>CP5018</t>
  </si>
  <si>
    <t>Шафа удароміцна з АБС-пластика e.plbox.500.600.220.tr, 500х600х220мм, IP65 з прозорими дверцятами</t>
  </si>
  <si>
    <t>CP5016</t>
  </si>
  <si>
    <t>Шафа удароміцна з АБС-пластика e.plbox.500.700.245.tr, 500х700х245мм, IP65 з прозорими дверцятами</t>
  </si>
  <si>
    <t>CP5019</t>
  </si>
  <si>
    <t>Шафа удароміцна з АБС-пластика e.plbox.600.800.260.tr, 600х800х260мм, IP65 з прозорими дверцятами</t>
  </si>
  <si>
    <t>Шафи удароміцні з непрозорими дверцятами і панеллю під лічильники та модульні автомати</t>
  </si>
  <si>
    <t>CP5201</t>
  </si>
  <si>
    <t>Шафа удароміцна з АБС-пластика e.plbox.250.330.130.1f.2m.blank, 250х330х130мм, IP65 з панеллю під 1- фазний лічильник та 2 модулі</t>
  </si>
  <si>
    <t>CP5202</t>
  </si>
  <si>
    <t>Шафа удароміцна з АБС-пластика e.plbox.300.400.165.1f.15m.blank, 300х400х165мм, IP65 з панеллю під 1- фазний лічильник та 15 модулів</t>
  </si>
  <si>
    <t>CP5203</t>
  </si>
  <si>
    <t>Шафа удароміцна з АБС-пластика e.plbox.400.500.175.3f.6m.blank, 400х500х175мм, IP65 з панеллю під 3 - фазний лічильник та 6 модулів</t>
  </si>
  <si>
    <t>CP5204</t>
  </si>
  <si>
    <t>Шафа удароміцна з АБС-пластика e.plbox.400.600.200.3f.20m.blank, 400х600х200мм, IP65 з панеллю під 3 - фазний лічильник та 20 модулів</t>
  </si>
  <si>
    <t>Шафи удароміцні з прозорими дверцятами і панеллю під лічильники та модульні автомати</t>
  </si>
  <si>
    <t>CP5211</t>
  </si>
  <si>
    <t>Шафа удароміцна з АБС-пластика e.plbox.250.330.130.1f.2m.tr, 250х330х130мм, IP65 з прозорими дверцятами,  панеллю під 1 - фазний лічильник та 2 модулі</t>
  </si>
  <si>
    <t>CP5212</t>
  </si>
  <si>
    <t>Шафа удароміцна з АБС-пластика e.plbox.300.400.165.1f.15m.tr, 300х400х165мм, IP65 з прозорими дверцятами,  панеллю під 1 - фазний лічильник та 15 модулі</t>
  </si>
  <si>
    <t>CP5213</t>
  </si>
  <si>
    <t>Шафа удароміцна з АБС-пластика e.plbox.400.500.175.3f.6m.tr, 400х500х185мм, IP65 з прозорими дверцятами,  панеллю під 3 - фазний лічильник та 6 модулів</t>
  </si>
  <si>
    <t>CP5214</t>
  </si>
  <si>
    <t>Шафа удароміцна з АБС-пластика e.plbox.400.600.200.3f.20m.tr, 400х600х200мм, IP65 з прозорими дверцятами,  панеллю під 3 - фазний лічильник та 20 модулів</t>
  </si>
  <si>
    <t>Шафи удароміцні модульні з непрозорими дверцятами</t>
  </si>
  <si>
    <t>CP5101</t>
  </si>
  <si>
    <t>Шафа удароміцна з АБС-пластика e.plbox.210.280.130.8m.blank, 210х280х130мм, IP65 з панеллю під 8 модулів</t>
  </si>
  <si>
    <t>CP5102</t>
  </si>
  <si>
    <t>Шафа удароміцна з АБС-пластика e.plbox.250.330.130.18m.blank, 250х330х130мм, IP65 з панеллю під 18 модулів</t>
  </si>
  <si>
    <t>CP5103</t>
  </si>
  <si>
    <t>Шафа удароміцна з АБС-пластика e.plbox.300.400.165.24m.blank, 300х400х165мм, IP65 з панеллю під 24 модулі</t>
  </si>
  <si>
    <t>CP5107</t>
  </si>
  <si>
    <t>Шафа удароміцна з АБС-пластика e.plbox.350.500.195.45m.blank, 350х500х195мм, IP65 з панеллю під 45 модулів</t>
  </si>
  <si>
    <t>CP5104</t>
  </si>
  <si>
    <t>Шафа удароміцна з АБС-пластика e.plbox.400.500.175.54m.blank, 400х500х175мм, IP65 з панеллю під 54 модулі</t>
  </si>
  <si>
    <t>CP5105</t>
  </si>
  <si>
    <t>Шафа удароміцна з АБС-пластика e.plbox.400.600.200.60m.blank, 400х600х200мм, IP65 з панеллю під 60 модулів</t>
  </si>
  <si>
    <t>CP5106</t>
  </si>
  <si>
    <t>Шафа удароміцна з АБС-пластика e.plbox.500.700.245.88m.blank, 500х700х245мм, IP65 з панеллю під 88 модулів</t>
  </si>
  <si>
    <t>Шафи удароміцні модульні з прозорими дверцятами</t>
  </si>
  <si>
    <t>CP5111</t>
  </si>
  <si>
    <t>Шафа удароміцна з АБС-пластика e.plbox.210.280.130.8m.tr, 210х280х130мм, IP65 з прозорими дверцятами та панеллю під 8 модулів</t>
  </si>
  <si>
    <t>CP5112</t>
  </si>
  <si>
    <t>Шафа удароміцна з АБС-пластика e.plbox.250.330.130.18m.tr, 250х330х130мм, IP65 з прозорими дверцятами та панеллю під 18 модулів</t>
  </si>
  <si>
    <t>CP5113</t>
  </si>
  <si>
    <t>Шафа удароміцна з АБС-пластика e.plbox.300.400.165.24m.tr, 300х400х165мм, IP65 з прозорими дверцятами та панеллю під 24 модулі</t>
  </si>
  <si>
    <t>CP5117</t>
  </si>
  <si>
    <t>Шафа удароміцна з АБС-пластика e.plbox.350.500.195.45m.tr, 350х500х195мм, IP65 з прозорими дверцятами та панеллю під 45 модулів</t>
  </si>
  <si>
    <t>CP5114</t>
  </si>
  <si>
    <t>Шафа удароміцна з АБС-пластика e.plbox.400.500.175.54m.tr, 400х500х175мм, IP65 з прозорими дверцятами та панеллю під 54 модулі</t>
  </si>
  <si>
    <t>CP5115</t>
  </si>
  <si>
    <t>Шафа удароміцна з АБС-пластика e.plbox.400.600.200.60m.tr, 400х600х200мм, IP65 з прозорими дверцятами та панеллю під 60 модулів</t>
  </si>
  <si>
    <t>CP5116</t>
  </si>
  <si>
    <t>Шафа удароміцна з АБС-пластика e.plbox.500.700.245.88m.tr, 500х700х245мм, IP65 з прозорими дверцятами та панеллю під 88 модулів</t>
  </si>
  <si>
    <t>8.Корпус пластиковий модульний вологозахищений серії INDUSTRIAL</t>
  </si>
  <si>
    <t>i0600001</t>
  </si>
  <si>
    <t>Шафа розподільна e.industrial.box.4, до 4-х модулів, вологозахищена, IP65</t>
  </si>
  <si>
    <t>9.Шафи пластикові удароміцні для силових розеток</t>
  </si>
  <si>
    <t>CP6000</t>
  </si>
  <si>
    <t>Шафа удароміцна з АБС-пластика e.plbox.industrial.130x240x105.6m передня панель похила IP54</t>
  </si>
  <si>
    <t>CP6001</t>
  </si>
  <si>
    <t>Шафа удароміцна з АБС-пластика e.plbox.industrial.230x300x115.11m передня панель похила IP54</t>
  </si>
  <si>
    <t>CP6008</t>
  </si>
  <si>
    <t>Шафа удароміцна з АБС-пластика e.plbox.industrial.260x360x130.12m передня панель похила IP54</t>
  </si>
  <si>
    <t>CP6007</t>
  </si>
  <si>
    <t>Шафа удароміцна з АБС-пластика e.plbox.industrial.330x506x150.13m IP54</t>
  </si>
  <si>
    <t>2.Корпуси металеві</t>
  </si>
  <si>
    <t>1.Корпуси металеві модульні серії STAND, PRO, ЩО</t>
  </si>
  <si>
    <t>1.Корпуси металеві модульні MBOX серії STAND</t>
  </si>
  <si>
    <t>s0100019</t>
  </si>
  <si>
    <t>Шафа e.mbox.stand.n.06.z металева, під 6 мод., навісна, з замком</t>
  </si>
  <si>
    <t>s0100020</t>
  </si>
  <si>
    <t>Шафа e.mbox.stand.n.12.z металева, під 12 мод., навісна, з замком</t>
  </si>
  <si>
    <t>s0100023</t>
  </si>
  <si>
    <t>Шафа e.mbox.stand.n.15.z металева, під 15 мод., навісна, з замком</t>
  </si>
  <si>
    <t>s0100025</t>
  </si>
  <si>
    <t>Шафа e.mbox.stand.n.24.z металева, під 24 мод., навісна, з замком</t>
  </si>
  <si>
    <t>s0100027</t>
  </si>
  <si>
    <t>Шафа e.mbox.stand.n.36.z металева, під 36 мод., навісна, з замком</t>
  </si>
  <si>
    <t>s0100124</t>
  </si>
  <si>
    <t>Шафа e.mbox.stand.n.48.z металева, під 48 мод., навісна, з замком</t>
  </si>
  <si>
    <t>s0100127</t>
  </si>
  <si>
    <t>Шафа e.mbox.stand.n.04.z металева, під 4мод., герметична IP54, навісна, з замком</t>
  </si>
  <si>
    <t>s0100128</t>
  </si>
  <si>
    <t>Шафа e.mbox.stand.n.06.z металева, під 6мод., герметична IP54, навісна, з замком</t>
  </si>
  <si>
    <t>s0100129</t>
  </si>
  <si>
    <t>Шафа e.mbox.stand.n.12.z металева, під 12мод., герметична IP54, навісна, з замком</t>
  </si>
  <si>
    <t>s0100130</t>
  </si>
  <si>
    <t>Шафа e.mbox.stand.n.15.z металева, під 15мод., герметична IP54, навісна, з замком</t>
  </si>
  <si>
    <t>s0100018</t>
  </si>
  <si>
    <t>Шафа e.mbox.stand.w.06.z металева, під 6 мод., що вбудовується, з замком</t>
  </si>
  <si>
    <t>s0100021</t>
  </si>
  <si>
    <t>Шафа e.mbox.stand.w.12.z металева, під 12 мод., що вбудовується, з замком</t>
  </si>
  <si>
    <t>s0100022</t>
  </si>
  <si>
    <t>Шафа e.mbox.stand.w.15.z металева, під 15 мод., що вбудовується, з замком</t>
  </si>
  <si>
    <t>s0100024</t>
  </si>
  <si>
    <t>Шафа e.mbox.stand.w.24.z металева, під 24 мод., що вбудовується, з замком</t>
  </si>
  <si>
    <t>s0100026</t>
  </si>
  <si>
    <t>Шафа e.mbox.stand.w.36.z металева, під 36 мод., що вбудовується, з замком</t>
  </si>
  <si>
    <t>s0100125</t>
  </si>
  <si>
    <t>Шафа e.mbox.stand.w.48.z металева, під 48 мод., що вбудовується, з замком</t>
  </si>
  <si>
    <t>2.Корпуси металеві модульні MBOX серії PRO</t>
  </si>
  <si>
    <t>s0100201</t>
  </si>
  <si>
    <t>Корпус металевий e.mbox.pro.n.12z IP31 навісний на 12 модулів з замком</t>
  </si>
  <si>
    <t>s0100202</t>
  </si>
  <si>
    <t>Корпус металевий e.mbox.pro.n.18z IP31 навісний на 18 модулів з замком</t>
  </si>
  <si>
    <t>s0100203</t>
  </si>
  <si>
    <t>Корпус металевий e.mbox.pro.n.24z IP31 навісний на 24 модулі з замком</t>
  </si>
  <si>
    <t>s0100204</t>
  </si>
  <si>
    <t>Корпус металевий e.mbox.pro.n.36z IP31 навісний на 36 модулів з замком</t>
  </si>
  <si>
    <t>s0100205</t>
  </si>
  <si>
    <t>Корпус металевий e.mbox.pro.n.48z IP31 навісний на 48 модулів з замком</t>
  </si>
  <si>
    <t>s0100206</t>
  </si>
  <si>
    <t>Корпус металевий e.mbox.pro.n.54z IP31 навісний на 54 модуля з замком</t>
  </si>
  <si>
    <t>s0100207</t>
  </si>
  <si>
    <t>Корпус металевий e.mbox.pro.n.72z IP31 навісний на 72 модулі з замком</t>
  </si>
  <si>
    <t>s0100208</t>
  </si>
  <si>
    <t>Корпус металевий e.mbox.pro.w.12z IP31 вбудований на 12 модулів з замком</t>
  </si>
  <si>
    <t>s0100209</t>
  </si>
  <si>
    <t>Корпус металевий e.mbox.pro.w.18z IP31 вбудований на 18 модулів з замком</t>
  </si>
  <si>
    <t>s0100210</t>
  </si>
  <si>
    <t>Корпус металевий e.mbox.pro.w.24z IP31 вбудований на 24 модуля з замком</t>
  </si>
  <si>
    <t>s0100211</t>
  </si>
  <si>
    <t>Корпус металевий e.mbox.pro.w.36z IP31 вбудований на 36 модулів з замком</t>
  </si>
  <si>
    <t>s0100212</t>
  </si>
  <si>
    <t>Корпус металевий e.mbox.pro.w.48z IP31 вбудований на 48 модулів з замком</t>
  </si>
  <si>
    <t>s0100213</t>
  </si>
  <si>
    <t>Корпус металевий e.mbox.pro.w.54z IP31 вбудований на 54 модуля з замком</t>
  </si>
  <si>
    <t>s0100214</t>
  </si>
  <si>
    <t>Корпус металевий e.mbox.pro.w.72z IP31 вбудований на 72 модуля з замком</t>
  </si>
  <si>
    <t>s0100215</t>
  </si>
  <si>
    <t>Корпус металевий e.mbox.pro.n.12z IP54 навісний на 12 модулів з замком</t>
  </si>
  <si>
    <t>s0100216</t>
  </si>
  <si>
    <t>Корпус металевий e.mbox.pro.n.24z IP54 навісний на 24 модулі з замком</t>
  </si>
  <si>
    <t>s0100217</t>
  </si>
  <si>
    <t>Корпус металевий e.mbox.pro.n.36z IP54 навісний на 36 модулів з замком</t>
  </si>
  <si>
    <t>3.Щити освітлення ЩО економ</t>
  </si>
  <si>
    <t>ЩО-2В ек.</t>
  </si>
  <si>
    <t>Щит освітлення ЩО-2В економ, 2 мод., IP31, що вбудовується ШхВхГ 117 х 200 х 100</t>
  </si>
  <si>
    <t>ЩО-4В ек.</t>
  </si>
  <si>
    <t>Щит освітлення ЩО-4В економ, 4 мод., IP31, що вбудовується ШхВхГ 153 х 200 х 100</t>
  </si>
  <si>
    <t>ЩО-6В ек.</t>
  </si>
  <si>
    <t>Щит освітлення ЩО-6В економ, 6 мод., IP31, що вбудовується ШхВхГ 150х165х100</t>
  </si>
  <si>
    <t>ЩО-9В ек.</t>
  </si>
  <si>
    <t>Щит освітлення ЩО-9В економ, 9 мод., IP31,що вбудовується</t>
  </si>
  <si>
    <t>ЩО-12В ек.</t>
  </si>
  <si>
    <t>Щит освітлення ЩО-12В економ, 12 мод., IP31, що вбудовується ШхВхГ 260х165х100</t>
  </si>
  <si>
    <t>ЩО-16В ек.</t>
  </si>
  <si>
    <t>Щит освітлення ЩО-16В економ, 16 мод., IP31, що вбудовується ШхВхГ 320х165х100</t>
  </si>
  <si>
    <t>ЩО-24В ек.</t>
  </si>
  <si>
    <t>Щит освітлення ЩО-24В економ, 24 мод., IP31, що вбудовується ШхВхГ 260х330х100</t>
  </si>
  <si>
    <t>ЩО-36В ек.</t>
  </si>
  <si>
    <t>Щит освітлення ЩО-36В економ, 36 мод., IP31, що вбудовується ШхВхГ 260х455х100</t>
  </si>
  <si>
    <t>ЩО-48В ек.</t>
  </si>
  <si>
    <t>Щит освітлення ЩО-48В економ, 48 мод., IP31, що вбудовується</t>
  </si>
  <si>
    <t>ЩО-72В</t>
  </si>
  <si>
    <t>Щит освітлення ЩО-72В, 72 мод., IP31, що вбудовується</t>
  </si>
  <si>
    <t>ЩО-2Н ек.</t>
  </si>
  <si>
    <t>Щит освітлення ЩО-2Н економ, 2 мод., IP31,  навісний ШхВхГ 118 х 165 х 100</t>
  </si>
  <si>
    <t>ЩО-4Н ек.</t>
  </si>
  <si>
    <t>Щит освітлення ЩО-4Н економ, 4 мод., IP31,навісний ШхВхГ 154 х 165 х 100</t>
  </si>
  <si>
    <t>ЩО-6Н ек.</t>
  </si>
  <si>
    <t>Щит освітлення ЩО-6Н економ, 6 мод., IP31, навісний ШхВхГ 150х165х100</t>
  </si>
  <si>
    <t>ЩО-9Н ек.</t>
  </si>
  <si>
    <t>Щит освітлення ЩО-9Н економ, 9 мод., IP31, навісний</t>
  </si>
  <si>
    <t>ЩО-12Н ек.</t>
  </si>
  <si>
    <t>Щит освітлення ЩО-12Н економ, 12 мод., IP31, навісний ШхВхГ 275х165х100</t>
  </si>
  <si>
    <t>ЩО-16Н ек.</t>
  </si>
  <si>
    <t>Щит освітлення ЩО-16Н економ, 16 мод., IP31, навісний ШхВхГ 350х165х100</t>
  </si>
  <si>
    <t>ЩО-24Н ек.</t>
  </si>
  <si>
    <t>Щит освітлення ЩО-24Н економ, 24 мод., IP31, навісний ШхВхГ 275х330х100</t>
  </si>
  <si>
    <t>ЩО-36Н ек.</t>
  </si>
  <si>
    <t>Щит освітлення ЩО-36Н економ, 36 мод., IP31, навісний ШхВхГ 275х455х100</t>
  </si>
  <si>
    <t>ЩО-48Н ек.</t>
  </si>
  <si>
    <t>Щит освітлення ЩО-48ВН економ, 48 мод., IP31 навісний</t>
  </si>
  <si>
    <t>ЩО-72Н</t>
  </si>
  <si>
    <t>Щит освітлення ЩО-72Н, 72 мод., IP31, навісний</t>
  </si>
  <si>
    <t>4.Щити освітлення ЩО (під замовлення)</t>
  </si>
  <si>
    <t>ЩО-6В</t>
  </si>
  <si>
    <t>Щит освітлення ЩО-6В, 6 мод., IP31, що вбудовується</t>
  </si>
  <si>
    <t>ЩО-9В</t>
  </si>
  <si>
    <t>Щит освітлення ЩО-9В, 9 мод., IP31, що вбудовується</t>
  </si>
  <si>
    <t>ЩО-12В</t>
  </si>
  <si>
    <t>Щит освітлення ЩО-12В, 12 мод., IP31, що вбудовується</t>
  </si>
  <si>
    <t>ЩО-18В</t>
  </si>
  <si>
    <t>Щит освітлення ЩО-18В, 18 мод., IP31, що вбудовується</t>
  </si>
  <si>
    <t>ЩО-24В</t>
  </si>
  <si>
    <t>Щит освітлення ЩО-24В, 24 мод., IP31, що вбудовується</t>
  </si>
  <si>
    <t>ЩО-36В</t>
  </si>
  <si>
    <t>Щит освітлення ЩО-36В, 36 мод., IP31, що вбудовується</t>
  </si>
  <si>
    <t>ЩО-48В</t>
  </si>
  <si>
    <t>Щит освітлення ЩО-48В, 48 мод., IP31, що вбудовується</t>
  </si>
  <si>
    <t>ЩО-6Н</t>
  </si>
  <si>
    <t>Щит освітлення ЩО-6Н, 6 мод., IP31, навісний</t>
  </si>
  <si>
    <t>ЩО-9Н</t>
  </si>
  <si>
    <t>Щит освітлення ЩО-9Н, 9 мод., IP31, навісний</t>
  </si>
  <si>
    <t>ЩО-12Н</t>
  </si>
  <si>
    <t>Щит освітлення ЩО-12Н, 12 мод., IP31, навісний</t>
  </si>
  <si>
    <t>ЩО-18Н</t>
  </si>
  <si>
    <t>Щит освітлення ЩО-18Н, 18 мод., IP31, навісний</t>
  </si>
  <si>
    <t>ЩО-24Н</t>
  </si>
  <si>
    <t>Щит освітлення ЩО-24Н, 24 мод., IP31, навісний</t>
  </si>
  <si>
    <t>ЩО-36Н</t>
  </si>
  <si>
    <t>Щит освітлення ЩО-36Н, 36 мод., IP31, навісний</t>
  </si>
  <si>
    <t>ЩО-48Н</t>
  </si>
  <si>
    <t>Щит освітлення ЩО-48Н, 48 мод., IP31, навісний</t>
  </si>
  <si>
    <t>ЩО-6НГ</t>
  </si>
  <si>
    <t>Щит освітлення ЩО-6НГ, 6 мод., IP54, навісний</t>
  </si>
  <si>
    <t>ЩО-12НГ</t>
  </si>
  <si>
    <t>Щит освітлення ЩО-12НГ, 12 мод., IP54, навісний</t>
  </si>
  <si>
    <t>ЩО-24НГ</t>
  </si>
  <si>
    <t>Щит освітлення ЩО-24НГ, 24 мод., IP54, навісний</t>
  </si>
  <si>
    <t>ЩО-36НГ</t>
  </si>
  <si>
    <t>Щит освітлення ЩО-36НГ, 36 мод., IP54, навісний</t>
  </si>
  <si>
    <t>5.Дверцята металеві ревізійні MDOOR</t>
  </si>
  <si>
    <t>s0100062</t>
  </si>
  <si>
    <t>Дверцята металеві ревізійні  e.mdoor.stand.150.150.z 150х150мм з замком</t>
  </si>
  <si>
    <t>s0100059</t>
  </si>
  <si>
    <t>Дверцята металеві ревізійні  e.mdoor.stand.200.200.z 200х200м з замком</t>
  </si>
  <si>
    <t>s0100054</t>
  </si>
  <si>
    <t>Дверцята металеві ревізійні  e.mdoor.stand.200.300.z 200х300м з замком</t>
  </si>
  <si>
    <t>s0100154</t>
  </si>
  <si>
    <t>Дверцята металеві ревізійні  e.mdoor.stand.200.400.z 200х400м з замком</t>
  </si>
  <si>
    <t>s0100039</t>
  </si>
  <si>
    <t>Дверцята металеві ревізійні  e.mdoor.stand.250.250 250х250м</t>
  </si>
  <si>
    <t>s0100044</t>
  </si>
  <si>
    <t>Дверцята металеві ревізійні  e.mdoor.stand.300.400.z 300х400м c замком</t>
  </si>
  <si>
    <t>s0100046</t>
  </si>
  <si>
    <t>Дверцята металеві ревізійні  e.mdoor.stand.300.500.z 300х500м c замком</t>
  </si>
  <si>
    <t>s0100085</t>
  </si>
  <si>
    <t>Дверцята металеві ревізійні  e.mdoor.stand.400.500.z 400х500м c замком</t>
  </si>
  <si>
    <t>s0100061</t>
  </si>
  <si>
    <t>Дверцята металеві ревізійні  e.mdoor.stand.400.600.z 400х600м c замком</t>
  </si>
  <si>
    <t>s0100196</t>
  </si>
  <si>
    <t>Дверцята металеві ревізійні  e.mdoor.stand.500.500.z 500х500м c замком</t>
  </si>
  <si>
    <t>s0100197</t>
  </si>
  <si>
    <t>Дверцята металеві ревізійні  e.mdoor.stand.500.600.z 500х600м c замком</t>
  </si>
  <si>
    <t>s0100199</t>
  </si>
  <si>
    <t>Дверцята металеві ревізійні  e.mdoor.stand.500.700.z 500х700м c замком</t>
  </si>
  <si>
    <t>s0100198</t>
  </si>
  <si>
    <t>Дверцята металеві ревізійні  e.mdoor.stand.600.600.z 600х600м c замком</t>
  </si>
  <si>
    <t>2.Корпуси обліку металеві серії STAND, PRO, ЯУР</t>
  </si>
  <si>
    <t>1.Корпуси обліку металеві MBOX серії STAND</t>
  </si>
  <si>
    <t>s0100001</t>
  </si>
  <si>
    <t>Шафа e.mbox.stand.n.f1.0.z металева, під 1-ф. лічильник, порожня, навісна, з замком</t>
  </si>
  <si>
    <t>s0100003</t>
  </si>
  <si>
    <t>Шафа e.mbox.stand.n.f1.04.z металева, під 1-ф. лічильник, 4 мод., навісна, з замком</t>
  </si>
  <si>
    <t>s0100063</t>
  </si>
  <si>
    <t>Шафа e.mbox.stand.n.f1.04.z.e металева, під 1-ф. електронний лічильник, 4 мод., навісна, з замком</t>
  </si>
  <si>
    <t>s0100005</t>
  </si>
  <si>
    <t>Шафа e.mbox.stand.n.f1.08.z металева, під 1-ф. лічильник, 8 мод., навісна, з замком</t>
  </si>
  <si>
    <t>s0100049</t>
  </si>
  <si>
    <t>Шафа e.mbox.stand.n.f1.08.z.е металева, під 1-ф. електронний лічильник, 8 мод., навісна, з замком.</t>
  </si>
  <si>
    <t>s0100015</t>
  </si>
  <si>
    <t>Шафа e.mbox.stand.n.f1.10.z металева, під 1-ф. лічильник, 10 мод., навісна, з замком</t>
  </si>
  <si>
    <t>s0100065</t>
  </si>
  <si>
    <t>Шафа e.mbox.stand.n.f1.10.z.e металева, під 1-ф. електронний лічильник, 10 мод., навісна, з замком</t>
  </si>
  <si>
    <t>s0100007</t>
  </si>
  <si>
    <t>Шафа e.mbox.stand.n.f1.12.z металева, під 1-ф. лічильник, 12 мод., навісна, з замком</t>
  </si>
  <si>
    <t>s0100067</t>
  </si>
  <si>
    <t>Шафа e.mbox.stand.n.f1.12.z.e металева, під 1-ф. електронний лічильник, 12 мод., навісна, з замком</t>
  </si>
  <si>
    <t>s0100009</t>
  </si>
  <si>
    <t>Шафа e.mbox.stand.n.f1.16.z металева, під 1-ф. лічильник, 16 мод., навісна, з замком</t>
  </si>
  <si>
    <t>s0100069</t>
  </si>
  <si>
    <t>Шафа e.mbox.stand.n.f1.16.z.e металева, під 1-ф. електронний лічильник, 16 мод., навісна, з замком</t>
  </si>
  <si>
    <t>s0100011</t>
  </si>
  <si>
    <t>Шафа e.mbox.stand.n.f3.12.z металева, під 3-ф. лічильник, 12 мод., навісна, з замком</t>
  </si>
  <si>
    <t>s0100071</t>
  </si>
  <si>
    <t>Шафа e.mbox.stand.n.f3.12.z.e металева, під 3-ф. електронний лічильник, 12 мод., навісна, з замком</t>
  </si>
  <si>
    <t>s0100013</t>
  </si>
  <si>
    <t>Шафа e.mbox.stand.n.f3.24.z металева, під 3-ф. лічильник, 24 мод., навісна, з замком</t>
  </si>
  <si>
    <t>s0100052</t>
  </si>
  <si>
    <t>Шафа e.mbox.stand.n.f3.24.z.е металева, під 3-ф. електронний лічильник, 24 мод., навісна, з замком.</t>
  </si>
  <si>
    <t>s0100031</t>
  </si>
  <si>
    <t>Шафа e.mbox.stand.n.f3.36.z металева, під 3-ф. лічильник, 36 мод., навісна, з замком</t>
  </si>
  <si>
    <t>s0100073</t>
  </si>
  <si>
    <t>Шафа e.mbox.stand.n.f3.36.z.e металева, під 3-ф. електронний лічильник, 36 мод., навісна, з замком</t>
  </si>
  <si>
    <t>s0100014</t>
  </si>
  <si>
    <t>Шафа e.mbox.stand.n.f1.6.z.str металева, під 1-ф. лічильник, порожня, навісна, 6 мод.,з замком, вулична</t>
  </si>
  <si>
    <t>s0100147</t>
  </si>
  <si>
    <t>Шафа e.mbox.stand.n.f3.22.z.str металева, під 3-ф. лічильник, навісна, 22 мод., з замком, вулична</t>
  </si>
  <si>
    <t>s0100126</t>
  </si>
  <si>
    <t>Шафа e.mbox.stand.n.f3.6.z.str металева, під 3-ф. лічильник, порожня, навісна, 6 мод., з замком, вулична</t>
  </si>
  <si>
    <t>s0100002</t>
  </si>
  <si>
    <t>Шафа e.mbox.stand.w.f1.04.z металева, під 1-ф. лічильник, 4 мод., що вбудовується, з замком</t>
  </si>
  <si>
    <t>s0100064</t>
  </si>
  <si>
    <t>Шафа e.mbox.stand.w.f1.04.z.e металева, під 1-ф. електронний лічильник, 4 мод., що вбудовується, з замком</t>
  </si>
  <si>
    <t>s0100004</t>
  </si>
  <si>
    <t>Шафа e.mbox.stand.w.f1.08.z металева, під 1-ф. лічильник, 8 мод., що вбудовується, з замком</t>
  </si>
  <si>
    <t>s0100050</t>
  </si>
  <si>
    <t>Шафа e.mbox.stand.w.f1.08.z.е металева, під 1-ф. електронний лічильник, 8 мод., що вбудовується, з замком.</t>
  </si>
  <si>
    <t>s0100016</t>
  </si>
  <si>
    <t>Шафа e.mbox.stand.w.f1.10.z металева, під 1-ф. лічильник, 10 мод., що вбудовується, з замком</t>
  </si>
  <si>
    <t>s0100066</t>
  </si>
  <si>
    <t>Шафа e.mbox.stand.w.f1.10.z.e металева, під 1-ф. електронний лічильник, 10 мод., що вбудовується, з замком</t>
  </si>
  <si>
    <t>s0100006</t>
  </si>
  <si>
    <t>Шафа e.mbox.stand.w.f1.12.z металева, під 1-ф лічильник, 12 мод., що вбудовується, з замком</t>
  </si>
  <si>
    <t>s0100068</t>
  </si>
  <si>
    <t>Шафа e.mbox.stand.w.f1.12.z.e металевий, під 1-ф. електронний лічильник, 12 мод., що вбудовується, з замком</t>
  </si>
  <si>
    <t>s0100008</t>
  </si>
  <si>
    <t>Шафа e.mbox.stand.w.f1.16.z металева, під 1-ф. лічильник, 16 мод., що вбудовується, з замком</t>
  </si>
  <si>
    <t>s0100070</t>
  </si>
  <si>
    <t>Шафа e.mbox.stand.w.f1.16.z.e металева, під 1-ф електронний лічильник, 16 мод., що вбудовується, з замком</t>
  </si>
  <si>
    <t>s0100010</t>
  </si>
  <si>
    <t>Шафа e.mbox.stand.w.f3.12.z металева, під 3-ф. лічильник, 12 мод., що вбудовується, з замком</t>
  </si>
  <si>
    <t>s0100072</t>
  </si>
  <si>
    <t>Шафа e.mbox.stand.w.f3.12.z.e металева, під 3-ф. електронний лічильник, 12 мод., що вбудовується, з замком</t>
  </si>
  <si>
    <t>s0100012</t>
  </si>
  <si>
    <t>Шафа e.mbox.stand.w.f3.24.z металевий, під 3-ф. лічильник, 24 мод., що вбудовується, з замком</t>
  </si>
  <si>
    <t>s0100051</t>
  </si>
  <si>
    <t>Шафа e.mbox.stand.w.f3.24.z.е металева, під 3-ф. електронний лічильник, 24 мод., що вбудовується, з замком.</t>
  </si>
  <si>
    <t>s0100030</t>
  </si>
  <si>
    <t>Шафа e.mbox.stand.w.f3.36.z металева, під 3-ф. лічильник, 36 мод., що вбудовується, з замком</t>
  </si>
  <si>
    <t>s0100074</t>
  </si>
  <si>
    <t>Шафа e.mbox.stand.w.f3.36.z.e металева, під 3-ф. електронний лічильник, 36 мод., що вбудовується, з замком</t>
  </si>
  <si>
    <t>2.Корпуси обліку металеві MBOX серії PRO</t>
  </si>
  <si>
    <t>s0100221</t>
  </si>
  <si>
    <t>Корпус обліку металевий e.mbox.pro.n.f1.12z IP31 навісний під 1ф лічильник, 12 модулів з замком</t>
  </si>
  <si>
    <t>s0100222</t>
  </si>
  <si>
    <t>Корпус обліку металевий e.mbox.pro.n.f3.12z IP31 навісний під 3ф лічильник, 12 модулів з замком</t>
  </si>
  <si>
    <t>s0100223</t>
  </si>
  <si>
    <t>Корпус обліку металевий e.mbox.pro.n.f3.27z IP31 навісний під 3ф лічильник, 27 модулів з замком</t>
  </si>
  <si>
    <t>s0100226</t>
  </si>
  <si>
    <t>Корпус обліку металевий e.mbox.pro.w.f3.12z IP31 вбудований під 3ф лічильник, 12 модулів з замком</t>
  </si>
  <si>
    <t>s0100227</t>
  </si>
  <si>
    <t>Корпус обліку металевий e.mbox.pro.w.f3.27z IP31 вбудований під 3ф лічильник, 27 модулів з замком</t>
  </si>
  <si>
    <t>s0100224</t>
  </si>
  <si>
    <t>Корпус обліку металевий e.mbox.pro.n.f1.4z IP54 навісний під 1ф лічильник, 4 мод. з замком, з внутр.дверцятами під опломб.</t>
  </si>
  <si>
    <t>s0100225</t>
  </si>
  <si>
    <t>Корпус обліку металевий e.mbox.pro.n.f3.9z IP54 навісний під 3ф лічильник, 9 мод. з замком, з внутр.дверцятами під опломб.</t>
  </si>
  <si>
    <t>3.Корпуси обліку ЯУР економ</t>
  </si>
  <si>
    <t>ЯУР-1В-4 ек.</t>
  </si>
  <si>
    <t>ЯУР-1В-4 эк., 1-ф. лічильник, 4 мод., IP31, що вбудовується, 250*250*135</t>
  </si>
  <si>
    <t>ЯУР-1В-4Э ек.</t>
  </si>
  <si>
    <t>ЯУР-1В-4Э эк., 1-ф. електронний лічильник, 4 мод., IP31, що вбудовується, 250*250*100</t>
  </si>
  <si>
    <t>ЯУР-1В-8 ек.</t>
  </si>
  <si>
    <t>ЯУР-1В-8 эк., 1-ф. лічильник, 8 мод., IP31, що вбудовується, 185*355*135</t>
  </si>
  <si>
    <t>ЯУР-1В-8Э ек.</t>
  </si>
  <si>
    <t>ЯУР-1В-8Э эк., 1-ф. електронний лічильник, 8 мод., IP31, що вбудовується, 185*355*100</t>
  </si>
  <si>
    <t>ЯУР-1В-10 ек.</t>
  </si>
  <si>
    <t>ЯУР-1В-10 эк., 1-ф. лічильник, 10 мод., IP31, що вбудовується, 212*355*135</t>
  </si>
  <si>
    <t>ЯУР-1В-10Э ек.</t>
  </si>
  <si>
    <t>ЯУР-1В-10Э эк., 1-ф. електронний лічильник, 10 мод., IP31, що вбудовується, 212*355*100</t>
  </si>
  <si>
    <t>ЯУР-1В-12 ек.</t>
  </si>
  <si>
    <t>ЯУР-1В-12 эк., 1-ф. лічильник, 12 мод., IP31, що вбудовується, 250*355*135</t>
  </si>
  <si>
    <t>ЯУР-1В-12Э ек.</t>
  </si>
  <si>
    <t>ЯУР-1В-12Э эк., 1-ф. електронний лічильник, 12 мод., IP31, що вбудовується, 250*355*100</t>
  </si>
  <si>
    <t>ЯУР-1Н-4 ек.</t>
  </si>
  <si>
    <t>ЯУР-1Н-4 эк., 1-ф. лічильник, 4 мод., IP31, навісний, 260*245*140</t>
  </si>
  <si>
    <t>ЯУР-1Н-4Э ек.</t>
  </si>
  <si>
    <t>ЯУР-1Н-4Э эк., 1-ф. електронний лічильник, 4 мод., IP31, навісний, 260*245*100</t>
  </si>
  <si>
    <t>ЯУР-1Н-8 ек.</t>
  </si>
  <si>
    <t>ЯУР-1Н-8 эк., 1-ф. лічильник, 8 мод., IP31, навісний, 190*355*140</t>
  </si>
  <si>
    <t>ЯУР-1Н-8Э ек.</t>
  </si>
  <si>
    <t>ЯУР-1Н-8Э эк., 1-ф. електронний лічильник, 8 мод., IP31, навісний, 190*355*100</t>
  </si>
  <si>
    <t>ЯУР-1Н-10 ек.</t>
  </si>
  <si>
    <t>ЯУР-1Н-10 эк., 1-ф. лічильник, 10 мод., IP31, навісний, 220*355*140</t>
  </si>
  <si>
    <t>ЯУР-1Н-10Э ек.</t>
  </si>
  <si>
    <t>ЯУР-1Н-10Э эк., 1-ф. електронний лічильник, 10 мод., IP31, навісний, 220*355*100</t>
  </si>
  <si>
    <t>ЯУР-1Н-12 ек.</t>
  </si>
  <si>
    <t>ЯУР-1Н-12 эк., 1-ф. лічильник, 12 мод., IP31, навісний, 260*355*140</t>
  </si>
  <si>
    <t>ЯУР-1Н-12Э ек.</t>
  </si>
  <si>
    <t>ЯУР-1Н-12Э эк., 1-ф. електронний лічильник, 12 мод., IP31, навісний, 260*355*100</t>
  </si>
  <si>
    <t>ЯУР-3В-12 ек.</t>
  </si>
  <si>
    <t>ЯУР-3В-12 эк., 3-ф. лічильник, 12 мод., IP31, що вбудовується, 255*425*145</t>
  </si>
  <si>
    <t>ЯУР-3В-12Э ек.</t>
  </si>
  <si>
    <t>ЯУР-3В-12Э эк., 3-ф. електронний лічильник, 12 мод., IP31, що вбудовується, 255*425*100</t>
  </si>
  <si>
    <t>ЯУР-3В-24 ек.</t>
  </si>
  <si>
    <t>ЯУР-3В-24 эк., 3-ф. лічильник, 24 мод., IP31, що вбудовується, 310*425*145</t>
  </si>
  <si>
    <t>ЯУР-3В-24Э ек.</t>
  </si>
  <si>
    <t>ЯУР-3В-24Э эк., 3-ф. електронний лічильник, 24 мод., IP31, що вбудовується, 310*425*100</t>
  </si>
  <si>
    <t>ЯУР-3В-36 ек.</t>
  </si>
  <si>
    <t>ЯУР-3В-36 эк., 3-ф. лічильник, 36 мод., IP31, що вбудовується, 310*540*145</t>
  </si>
  <si>
    <t>ЯУР-3В-36Э ек.</t>
  </si>
  <si>
    <t>ЯУР-3В-36Э эк., 3-ф. електронний лічильник, 36 мод., IP31, що вбудовується, 310*540*100</t>
  </si>
  <si>
    <t>ЯУР-3Н-12 ек.</t>
  </si>
  <si>
    <t>ЯУР-3Н-12 эк., 3-ф. лічильник, 12 мод., IP31, навісний, 260*428*150</t>
  </si>
  <si>
    <t>ЯУР-3Н-12Э ек.</t>
  </si>
  <si>
    <t>ЯУР-3Н-12Э эк., 3-ф. електронний лічильник, 12 мод., IP31, навісний, 260*428*120</t>
  </si>
  <si>
    <t>ЯУР-3Н-24 ек.</t>
  </si>
  <si>
    <t>ЯУР-3Н-24 эк., 3-ф. лічильник, 24 мод., IP31, навісний, 330*428*150</t>
  </si>
  <si>
    <t>ЯУР-3Н-24Э ек.</t>
  </si>
  <si>
    <t>ЯУР-3Н-24Э эк., 3-ф. електронний лічильник, 24 мод., IP31, навісний, 330*428*120</t>
  </si>
  <si>
    <t>ЯУР-3Н-36 ек.</t>
  </si>
  <si>
    <t>ЯУР-3Н-36 эк., 3-ф. лічильник, 36 мод., IP31, навісний, 315*544*150</t>
  </si>
  <si>
    <t>ЯУР-3Н-36Э ек.</t>
  </si>
  <si>
    <t>ЯУР-3Н-36Э эк., 3-ф. електронний лічильник, 36 мод., IP31, навісний, 315*544*120</t>
  </si>
  <si>
    <t>4.Корпуси обліку ЯУР (під замовлення)</t>
  </si>
  <si>
    <t>ЯУР-1В-4Э</t>
  </si>
  <si>
    <t>Корпус обліку ЯУР-1В-4Э, 1-ф. електронний лічильник, 4 мод., IP31, що вбудовується</t>
  </si>
  <si>
    <t>ЯУР-1В-8Э</t>
  </si>
  <si>
    <t>Корпус обліку ЯУР-1В-8Э, 1-ф. електронний лічильник, 8 мод., IP31, що вбудовується</t>
  </si>
  <si>
    <t>ЯУР-1В-12Э</t>
  </si>
  <si>
    <t>Корпус обліку ЯУР-1В-12Э, 1-ф. електронний лічильник, 12 мод., IP31, що вбудовується</t>
  </si>
  <si>
    <t>ЯУР-1Г-4</t>
  </si>
  <si>
    <t>Корпус обліку ЯУР-1Г-4, 1-ф. лічильник, 4 мод., IP54, навісний</t>
  </si>
  <si>
    <t>ЯУР-1Г-6Л</t>
  </si>
  <si>
    <t>Корпус обліку ЯУР-1Г-6Л, 1-ф. лічильник, 6 мод., IP54, навісний</t>
  </si>
  <si>
    <t>ЯУР-1Н</t>
  </si>
  <si>
    <t>Корпус обліку ЯУР-1Н, 1-ф. лічильник, IP31, навісний</t>
  </si>
  <si>
    <t>ЯУР-1Н-4Э</t>
  </si>
  <si>
    <t>Корпус обліку ЯУР-1Н-4Э, 1-ф. електронний лічильник, 4 мод., IP31, навісний</t>
  </si>
  <si>
    <t>ЯУР-1Н-8Э</t>
  </si>
  <si>
    <t>Корпус обліку ЯУР-1Н-8Э, 1-ф. електронний лічильник, 8 мод., IP31, навісний</t>
  </si>
  <si>
    <t>ЯУР-1Н-12Э</t>
  </si>
  <si>
    <t>Корпус обліку ЯУР-1Н-12Э, 1-ф. електронний лічильник, 12 мод., IP31, навісний</t>
  </si>
  <si>
    <t>ЯУР-3А-4</t>
  </si>
  <si>
    <t>Корпус обліку ЯУР-3А-4, 3-ф. лічильник, 4 мод., IP54, навісний</t>
  </si>
  <si>
    <t>ЯУР-3В-12 profi</t>
  </si>
  <si>
    <t>Корпус обліку ЯУР-3В-12 profi, 3-ф. лічильник, 12 мод., IP31, що вбудовується</t>
  </si>
  <si>
    <t>ЯУР-3В-24 profi</t>
  </si>
  <si>
    <t>Корпус обліку ЯУР-3В-24 profi, 3-ф. лічильник, 24 мод., IP31, що вбудовується</t>
  </si>
  <si>
    <t>ЯУР-3Г-7Л</t>
  </si>
  <si>
    <t>Корпус обліку ЯУР-3Г-7Л, 3-ф. лічильник, 7 мод., IP54, навісний</t>
  </si>
  <si>
    <t>ЯУР-3Г-12</t>
  </si>
  <si>
    <t>Корпус обліку ЯУР-3Г-12, 3-ф. лічильник, 12 мод., IP54, навісний</t>
  </si>
  <si>
    <t>ЯУР-3Г-14Л</t>
  </si>
  <si>
    <t>Корпус обліку ЯУР-3Г-14Л, 3-ф. лічильник, 14 мод., IP54, навісний</t>
  </si>
  <si>
    <t>ЯУР-3Н-12 profi</t>
  </si>
  <si>
    <t>Корпус обліку ЯУР-3Н-12 profi, 3-ф. лічильник, 12 мод., IP31, навісний</t>
  </si>
  <si>
    <t>ЯУР-3Н-14</t>
  </si>
  <si>
    <t>Корпус обліку ЯУР-3Н-14, 3-ф. лічильник, 14 мод., IP31, навісний</t>
  </si>
  <si>
    <t>ЯУР-3Н-24</t>
  </si>
  <si>
    <t>Корпус обліку ЯУР-3Н-24, 3-ф. лічильник, 24 мод., IP31, навісний</t>
  </si>
  <si>
    <t>ЯУР-3Н-24 profi</t>
  </si>
  <si>
    <t>Корпус обліку ЯУР-3Н-24 profi, 3-ф. лічильник, 24 мод., IP31, навісний</t>
  </si>
  <si>
    <t>ЯУР-С</t>
  </si>
  <si>
    <t>Корпус обліку ЯУР-С, без задньої стінки, 1-ф. лічильник, , IP31, навісний</t>
  </si>
  <si>
    <t>ЯУР-У3</t>
  </si>
  <si>
    <t>Корпус обліку ЯУР-У3, 1-ф./3-ф. лічильник, 3 мод., IP31, навісний</t>
  </si>
  <si>
    <t>ЯУР-У3-12</t>
  </si>
  <si>
    <t>Корпус обліку ЯУР-У3-12, 1-ф./3-ф. лічильник, 15 мод., IP31, навісний</t>
  </si>
  <si>
    <t>ЯУР-У3-12-1</t>
  </si>
  <si>
    <t>Корпус обліку ЯУР-У3-12-1, 1-ф./3-ф. лічильник, 17 мод., IP31, навісний</t>
  </si>
  <si>
    <t>ЯУР-У4</t>
  </si>
  <si>
    <t>Корпус обліку ЯУР-У4, 1-ф./3-ф. лічильник, 7 мод., IP54, навісний</t>
  </si>
  <si>
    <t>ЯУР-У4-16</t>
  </si>
  <si>
    <t>Корпус обліку ЯУР-У4-16, 1-ф./3-ф. лічильник, 23 мод., IP54, навісний</t>
  </si>
  <si>
    <t>ЯУР-У4-16К</t>
  </si>
  <si>
    <t>Корпус обліку ЯУР-У4-16К, на опору, 1-ф./3-ф. лічильник, 23 мод., IP54, навісний</t>
  </si>
  <si>
    <t>3.Корпуси з монтажною панеллю серії PRO, БМ, BW</t>
  </si>
  <si>
    <t>1. Корпуси з монтажною панеллю MBOX серії PRO</t>
  </si>
  <si>
    <t>s0100231</t>
  </si>
  <si>
    <t>Корпус металевий e.mbox.pro.p.30.20.15z IP31 з монтажною панеллю (300х200х150)</t>
  </si>
  <si>
    <t>s0100232</t>
  </si>
  <si>
    <t>Корпус металевий e.mbox.pro.p.40.30.15z IP31 з монтажною панеллю (400х300х150)</t>
  </si>
  <si>
    <t>s0100233</t>
  </si>
  <si>
    <t>Корпус металевий e.mbox.pro.p.40.30.20z IP31 з монтажною панеллю (400х300х200)</t>
  </si>
  <si>
    <t>s0100234</t>
  </si>
  <si>
    <t>Корпус металевий e.mbox.pro.p.40.40.20z IP31 з монтажною панеллю (400х400х200)</t>
  </si>
  <si>
    <t>s0100235</t>
  </si>
  <si>
    <t>Корпус металевий e.mbox.pro.p.50.40.20z IP31 з монтажною панеллю (500х400х200)</t>
  </si>
  <si>
    <t>s0100236</t>
  </si>
  <si>
    <t>Корпус металевий e.mbox.pro.p.60.40.20z IP31 з монтажною панеллю (600х400х200)</t>
  </si>
  <si>
    <t>s0100237</t>
  </si>
  <si>
    <t>Корпус металевий e.mbox.pro.p.60.50.20z IP31 з монтажною панеллю (600х500х200)</t>
  </si>
  <si>
    <t>s0100238</t>
  </si>
  <si>
    <t>Корпус металевий e.mbox.pro.p.80.65.25z IP31 з монтажною панеллю (800х650х250)</t>
  </si>
  <si>
    <t>s0100239</t>
  </si>
  <si>
    <t>Корпус металевий e.mbox.pro.p.100.65.30z IP31 з монтажною панеллю (1000х650х300)</t>
  </si>
  <si>
    <t>s0100240</t>
  </si>
  <si>
    <t>Корпус металевий e.mbox.pro.p.120.80.30z IP31 з монтажною панеллю (1200х800х300)</t>
  </si>
  <si>
    <t>s0100241</t>
  </si>
  <si>
    <t>Корпус металевий e.mbox.pro.p.140.80.30z IP31 з монтажною панеллю (1400х800х300)</t>
  </si>
  <si>
    <t>s0100242</t>
  </si>
  <si>
    <t>Корпус металевий e.mbox.pro.p.160.80.40z IP31 з монтажною панеллю (1600х800х400)</t>
  </si>
  <si>
    <t>s0100243</t>
  </si>
  <si>
    <t>Корпус металевий e.mbox.pro.p.30.20.15z IP54 з монтажною панеллю (300х200х150)</t>
  </si>
  <si>
    <t>s0100244</t>
  </si>
  <si>
    <t>Корпус металевий e.mbox.pro.p.40.30.20z IP54 з монтажною панеллю (400х300х200)</t>
  </si>
  <si>
    <t>s0100245</t>
  </si>
  <si>
    <t>Корпус металевий e.mbox.pro.p.40.40.20z IP54 з монтажною панеллю (400х400х200)</t>
  </si>
  <si>
    <t>s0100246</t>
  </si>
  <si>
    <t>Корпус металевий e.mbox.pro.p.50.40.20z IP54 з монтажною панеллю (500х400х200)</t>
  </si>
  <si>
    <t>s0100247</t>
  </si>
  <si>
    <t>Корпус металевий e.mbox.pro.p.60.40.20z IP54 з монтажною панеллю (600х400х200)</t>
  </si>
  <si>
    <t>s0100248</t>
  </si>
  <si>
    <t>Корпус металевий e.mbox.pro.p.60.50.20z IP54 з монтажною панеллю (600х500х200)</t>
  </si>
  <si>
    <t>s0100249</t>
  </si>
  <si>
    <t>Корпус металевий e.mbox.pro.p.80.65.25z IP54 з монтажною панеллю (800х650х250)</t>
  </si>
  <si>
    <t>s0100250</t>
  </si>
  <si>
    <t>Корпус металевий e.mbox.pro.p.100.65.30z IP54 з монтажною панеллю (1000х650х300)</t>
  </si>
  <si>
    <t>s0100251</t>
  </si>
  <si>
    <t>Корпус металевий e.mbox.pro.p.120.80.30z IP54 з монтажною панеллю (1200х800х300)</t>
  </si>
  <si>
    <t>s0100252</t>
  </si>
  <si>
    <t>Корпус металевий e.mbox.pro.p.140.80.30z IP54 з монтажною панеллю (1400х800х300)</t>
  </si>
  <si>
    <t>s0100253</t>
  </si>
  <si>
    <t>Корпус металевий e.mbox.pro.p.160.80.40z IP54 з монтажною панеллю (1600х800х400)</t>
  </si>
  <si>
    <t>2. Бокси монтажні металеві навісні БМ-С IP31</t>
  </si>
  <si>
    <t>БМ-25С+П</t>
  </si>
  <si>
    <t>Бокс монтажний навісний БМ-25С+П  (250 х 250 х 140) IP31</t>
  </si>
  <si>
    <t>БМ-30С+П</t>
  </si>
  <si>
    <t>Бокс монтажний навісний БМ-30С+П  (250 х 300 х 140) IP31</t>
  </si>
  <si>
    <t>БМ-33С+П</t>
  </si>
  <si>
    <t>Бокс монтажний навісний БМ-33С+П  (300 х 300 х 200) IP31</t>
  </si>
  <si>
    <t>БМ-40С+П</t>
  </si>
  <si>
    <t>Бокс монтажний навісний БМ-40С+П  (250 х 400 х 140) IP31</t>
  </si>
  <si>
    <t>БМ-50C+П</t>
  </si>
  <si>
    <t>Бокс монтажний навісний БМ-50C+П  (350 х 500 х 220) IP31</t>
  </si>
  <si>
    <t>БМ-62C+П</t>
  </si>
  <si>
    <t>Бокс монтажний навісний БМ-62C+П  (420 х 600 х 230) IP31</t>
  </si>
  <si>
    <t>БМ-70С+П</t>
  </si>
  <si>
    <t>Бокс монтажний навісний БМ-70С+П  (570 х 700 х 250) IP31</t>
  </si>
  <si>
    <t>3. Бокси монтажні металеві навісні БМ IP54</t>
  </si>
  <si>
    <t>БМ-20+П</t>
  </si>
  <si>
    <t>Бокс монтажний навісний БМ-20+П  (200х200х100) IP54</t>
  </si>
  <si>
    <t>БМ-25+П</t>
  </si>
  <si>
    <t>Бокс монтажний навісний БМ-25+П  (250х250х140) IP54</t>
  </si>
  <si>
    <t>БМ-30+П</t>
  </si>
  <si>
    <t>Бокс монтажний навісний БМ-30+П  (250х300х140) IP54</t>
  </si>
  <si>
    <t>БМ-33+П</t>
  </si>
  <si>
    <t>Бокс монтажний навісний БМ-33+П  (300х300х200) IP54</t>
  </si>
  <si>
    <t>БМ-35+П</t>
  </si>
  <si>
    <t>Бокс монтажний навісний БМ-35+П  (350х350х220) IP54</t>
  </si>
  <si>
    <t>БМ-40(стекло)+П</t>
  </si>
  <si>
    <t>Бокс монтажний навісний БМ-40(стекло)+П  (250х400х140) IP54</t>
  </si>
  <si>
    <t>БМ-40+П</t>
  </si>
  <si>
    <t>Бокс монтажний навісний БМ-40+П  (250х400х140) IP54</t>
  </si>
  <si>
    <t>БМ-43+П</t>
  </si>
  <si>
    <t>Бокс монтажний навісний БМ-43+П  (300х400х200) IP54</t>
  </si>
  <si>
    <t>БМ-44+П</t>
  </si>
  <si>
    <t>Бокс монтажний навісний БМ-44+П  (400х400х200) IP54</t>
  </si>
  <si>
    <t>БМ-45+П</t>
  </si>
  <si>
    <t>Бокс монтажний навісний БМ-45+П  (450х450х220) IP54</t>
  </si>
  <si>
    <t>БМ-50(стекло)+П</t>
  </si>
  <si>
    <t>Бокс монтажний навісний БМ-50(стекло)+П  (350х500х220) IP54</t>
  </si>
  <si>
    <t>БМ-50+П</t>
  </si>
  <si>
    <t>Бокс монтажний навісний БМ-50+П  (350х500х220) IP54</t>
  </si>
  <si>
    <t>БМ-51+П</t>
  </si>
  <si>
    <t>Бокс монтажний навісний БМ-51+П  (400х500х200) IP54</t>
  </si>
  <si>
    <t>БМ-53+П</t>
  </si>
  <si>
    <t>Бокс монтажний навісний БМ-53+П  (500х500х250) IP54</t>
  </si>
  <si>
    <t>БМ-55+П</t>
  </si>
  <si>
    <t>Бокс монтажний навісний БМ-55+П  (400х550х240) IP54</t>
  </si>
  <si>
    <t>БМ-60+П</t>
  </si>
  <si>
    <t>Бокс монтажний навісний БМ-60+П  (350х600х220) IP54</t>
  </si>
  <si>
    <t>БМ-62+П</t>
  </si>
  <si>
    <t>Бокс монтажний навісний БМ-62+П  (400х600х200) IP54</t>
  </si>
  <si>
    <t>БМ-65+П</t>
  </si>
  <si>
    <t>Бокс монтажний навісний БМ-65+П  (450х650х240) IP54</t>
  </si>
  <si>
    <t>БМ-68+П</t>
  </si>
  <si>
    <t>Бокс монтажний навісний БМ-68+П  (650х650х300) IP54</t>
  </si>
  <si>
    <t>БМ-70+П</t>
  </si>
  <si>
    <t>Бокс монтажний навісний БМ-70+П  (550х700х250) IP54</t>
  </si>
  <si>
    <t>БМ-75+П</t>
  </si>
  <si>
    <t>Бокс монтажний навісний БМ-75+П  (500х700х200) IP54</t>
  </si>
  <si>
    <t>БМ-80+П</t>
  </si>
  <si>
    <t>Бокс монтажний навісний БМ-80+П  (650х800х260) IP54</t>
  </si>
  <si>
    <t>БМ-86+П</t>
  </si>
  <si>
    <t>Бокс монтажний навісний БМ-86+П  (600х800х300) IP54</t>
  </si>
  <si>
    <t>БМ-100+П</t>
  </si>
  <si>
    <t>Бокс монтажний навісний БМ-100+П  (700х1000х350) IP54</t>
  </si>
  <si>
    <t>БМ-106+П</t>
  </si>
  <si>
    <t>Бокс монтажний навісний БМ-106+П  (600х1000х300) IP54</t>
  </si>
  <si>
    <t>БМ-120+П</t>
  </si>
  <si>
    <t>Бокс монтажний навісний БМ-120+П  (800х1200х400) IP54</t>
  </si>
  <si>
    <t>БМ-126+П</t>
  </si>
  <si>
    <t>Бокс монтажний навісний БМ-126+П  (600х1200х300) IP54</t>
  </si>
  <si>
    <t>4. Бокси монтажні металеві навісні BW IP31</t>
  </si>
  <si>
    <t>BW-2.3.2(IP31)</t>
  </si>
  <si>
    <t>Бокс монтажний навісний 200х300х200 (IP31) з монтажною панеллю 130х230</t>
  </si>
  <si>
    <t>BW-2,5.2,5.1,5(IP31)</t>
  </si>
  <si>
    <t>Бокс монтажний навісний 250х250х150 (IP31) з монтажною панеллю 180х180</t>
  </si>
  <si>
    <t>BW-3.3.1,5(IP31)</t>
  </si>
  <si>
    <t>Бокс монтажний навісний 300х300х150 (IP31) з монтажною панеллю 230х230</t>
  </si>
  <si>
    <t>BW-3.3.2(IP31)</t>
  </si>
  <si>
    <t>Бокс монтажний навісний 300х300х200 (IP31) з монтажною панеллю 230х230</t>
  </si>
  <si>
    <t>BW-3.4.1,5(IP31)</t>
  </si>
  <si>
    <t>Бокс монтажний навісний 300х400х150 (IP31) з монтажною панеллю 230х330</t>
  </si>
  <si>
    <t>BW-3.4.2(IP31)</t>
  </si>
  <si>
    <t>Бокс монтажний навісний 300х400х200 (IP31) з монтажною панеллю 230х330</t>
  </si>
  <si>
    <t>BW-3.4.2,5(IP31)</t>
  </si>
  <si>
    <t>Бокс монтажний навісний 300х400х250 (IP31) з монтажною панеллю 230х330</t>
  </si>
  <si>
    <t>BW-3.5.2(IP31)</t>
  </si>
  <si>
    <t>Бокс монтажний навісний 300х500х200 (IP31) з монтажною панеллю 230х430</t>
  </si>
  <si>
    <t>BW-3.5.2,5(IP31)</t>
  </si>
  <si>
    <t>Бокс монтажний навісний 300х500х250 (IP31) з монтажною панеллю 230х430</t>
  </si>
  <si>
    <t>BW-4.4.2(IP31)</t>
  </si>
  <si>
    <t>Бокс монтажний навісний 400х400х200 (IP31) з монтажною панеллю 330х330</t>
  </si>
  <si>
    <t>BW-4.5.2(IP31)</t>
  </si>
  <si>
    <t>Бокс монтажний навісний 400х500х200 (IP31) з монтажною панеллю 330х430</t>
  </si>
  <si>
    <t>BW-4.5.2,5(IP31)</t>
  </si>
  <si>
    <t>Бокс монтажний навісний 400х500х250 (IP31) з монтажною панеллю 330х430</t>
  </si>
  <si>
    <t>BW-4.6.2(IP31)</t>
  </si>
  <si>
    <t>Бокс монтажний навісний 400х600х200 (IP31) з монтажною панеллю 330х530</t>
  </si>
  <si>
    <t>BW-4.6.2,5(IP31)</t>
  </si>
  <si>
    <t>Бокс монтажний навісний 400х600х250 (IP31) з монтажною панеллю 330х530</t>
  </si>
  <si>
    <t>BW-4.6.3(IP31)</t>
  </si>
  <si>
    <t>Бокс монтажний навісний 400х600х300 (IP31) з монтажною панеллю 330х530</t>
  </si>
  <si>
    <t>BW-4.8.2(IP31)</t>
  </si>
  <si>
    <t>Бокс монтажний навісний 400х800х200 (IP31) з монтажною панеллю 330х730</t>
  </si>
  <si>
    <t>BW-5.6.2(IP31)</t>
  </si>
  <si>
    <t>Бокс монтажний навісний 500х600х200 (IP31) з монтажною панеллю 430х530</t>
  </si>
  <si>
    <t>BW-5.6.2,5(IP31)</t>
  </si>
  <si>
    <t>Бокс монтажний навісний 500х600х250 (IP31) з монтажною панеллю 430х530</t>
  </si>
  <si>
    <t>BW-5.7.2(IP31)</t>
  </si>
  <si>
    <t>Бокс монтажний навісний 500х700х200 (IP31) з монтажною панеллю 430х630</t>
  </si>
  <si>
    <t>BW-5.7.2,5(IP31)</t>
  </si>
  <si>
    <t>Бокс монтажний навісний 500х700х250 (IP31) з монтажною панеллю 430х630</t>
  </si>
  <si>
    <t>BW-6.10.3(IP31)</t>
  </si>
  <si>
    <t>Бокс монтажний навісний 600х1000х300 (IP31) з монтажною панеллю 530х930</t>
  </si>
  <si>
    <t>BW-6.12.3(IP31)</t>
  </si>
  <si>
    <t>Бокс монтажний навісний 600х1200х300 (IP31) з монтажною панеллю 530х1130</t>
  </si>
  <si>
    <t>BW-6.12.4(IP31)</t>
  </si>
  <si>
    <t>Бокс монтажний навісний 600х1200х400 (IP31) з монтажною панеллю 530х1130</t>
  </si>
  <si>
    <t>BW-6.6.2(IP31)</t>
  </si>
  <si>
    <t>Бокс монтажний навісний 600х600х200 (IP31) з монтажною панеллю 530х530</t>
  </si>
  <si>
    <t>BW-6.6.3(IP31)</t>
  </si>
  <si>
    <t>Бокс монтажний навісний 600х600х300 (IP31) з монтажною панеллю 530х530</t>
  </si>
  <si>
    <t>BW-6.7.3(IP31)</t>
  </si>
  <si>
    <t>Бокс монтажний навісний 600х700х300 (IP31) з монтажною панеллю 530х630</t>
  </si>
  <si>
    <t>BW-6.8.2(IP31)</t>
  </si>
  <si>
    <t>Бокс монтажний навісний 600х800х200 (IP31) з монтажною панеллю 530х730</t>
  </si>
  <si>
    <t>BW-6.8.2,5(IP31)</t>
  </si>
  <si>
    <t>Бокс монтажний навісний 600х800х250 (IP31) з монтажною панеллю 530х730</t>
  </si>
  <si>
    <t>BW-6.8.3(IP31)</t>
  </si>
  <si>
    <t>Бокс монтажний навісний 600х800х300 (IP31) з монтажною панеллю 530х730</t>
  </si>
  <si>
    <t>BW-7.10.3,5(IP31)</t>
  </si>
  <si>
    <t>Бокс монтажний навісний 700х1000х350 (IP31) з монтажною панеллю 630х930</t>
  </si>
  <si>
    <t>BW-8.8.3(IP31)</t>
  </si>
  <si>
    <t>Бокс монтажний навісний 800х800х300 (IP31) з монтажною панеллю 730х730</t>
  </si>
  <si>
    <t>BW-8.10.3(IP31)</t>
  </si>
  <si>
    <t>Бокс монтажний навісний 800х1000х300 (IP31) з монтажною панеллю 730х930</t>
  </si>
  <si>
    <t>BW-8.12.2,5(IP31)</t>
  </si>
  <si>
    <t>Бокс монтажний навісний 800х1200х250 (IP31) з монтажною панеллю 730х1130</t>
  </si>
  <si>
    <t>BW-8.12.3(IP31)</t>
  </si>
  <si>
    <t>Бокс монтажний навісний 800х1200х300 (IP31) з монтажною панеллю 730х1130</t>
  </si>
  <si>
    <t>BW-8.12.4(IP31)</t>
  </si>
  <si>
    <t>Бокс монтажний навісний 800х1200х400 (IP31) з монтажною панеллю 730х1130</t>
  </si>
  <si>
    <t>5. Бокси монтажні металеві навісні BW IP54</t>
  </si>
  <si>
    <t>BW-2.3.2</t>
  </si>
  <si>
    <t>Бокс монтажний навісний 200х300х200 (IP54) з монтажною панеллю 130х230</t>
  </si>
  <si>
    <t>BW-2,5.2,5.1,5</t>
  </si>
  <si>
    <t>Бокс монтажний навісний 250х250х150 (IP54) з монтажною панеллю 180х180</t>
  </si>
  <si>
    <t>BW-3.3.1,5</t>
  </si>
  <si>
    <t>Бокс монтажний навісний 300х300х150 (IP54) з монтажною панеллю 230х230</t>
  </si>
  <si>
    <t>BW-3.3.2</t>
  </si>
  <si>
    <t>Бокс монтажний навісний 300х300х200 (IP54) з монтажною панеллю 230х230</t>
  </si>
  <si>
    <t>BW-3.4.1,5</t>
  </si>
  <si>
    <t>Бокс монтажний навісний 300х400х150 (IP54) з монтажною панеллю 230х330</t>
  </si>
  <si>
    <t>BW-3.4.2</t>
  </si>
  <si>
    <t>Бокс монтажний навісний 300х400х200 (IP54) з монтажною панеллю 230х330</t>
  </si>
  <si>
    <t>BW-3.4.2,5</t>
  </si>
  <si>
    <t>Бокс монтажний навісний 300х400х250 (IP54) з монтажною панеллю 230х330</t>
  </si>
  <si>
    <t>BW-3.5.2</t>
  </si>
  <si>
    <t>Бокс монтажний навісний 300х500х200 (IP54) з монтажною панеллю 230х430</t>
  </si>
  <si>
    <t>BW-3.5.2,5</t>
  </si>
  <si>
    <t>Бокс монтажний навісний 300х500х250 (IP54) з монтажною панеллю 230х430</t>
  </si>
  <si>
    <t>BW-4.4.2</t>
  </si>
  <si>
    <t>Бокс монтажний навісний 400х400х200 (IP54) з монтажною панеллю 330х330</t>
  </si>
  <si>
    <t>BW-4.5.2</t>
  </si>
  <si>
    <t>Бокс монтажний навісний 400х500х200 (IP54) з монтажною панеллю 330х430</t>
  </si>
  <si>
    <t>BW-4.5.2,5</t>
  </si>
  <si>
    <t>Бокс монтажний навісний 400х500х250 (IP54) з монтажною панеллю 330х430</t>
  </si>
  <si>
    <t>BW-4.6.2</t>
  </si>
  <si>
    <t>Бокс монтажний навісний 400х600х200 (IP54) з монтажною панеллю 330х530</t>
  </si>
  <si>
    <t>BW-4.6.2,5</t>
  </si>
  <si>
    <t>Бокс монтажний навісний 400х600х250 (IP54) з монтажною панеллю 330х530</t>
  </si>
  <si>
    <t>BW-4.6.3</t>
  </si>
  <si>
    <t>Бокс монтажний навісний 400х600х300 (IP54) з монтажною панеллю 330х530</t>
  </si>
  <si>
    <t>BW-4.8.2</t>
  </si>
  <si>
    <t>Бокс монтажний навісний 400х800х200 (IP54) з монтажною панеллю 330х730</t>
  </si>
  <si>
    <t>BW-5.5.2</t>
  </si>
  <si>
    <t>Бокс монтажний навісний 500х500х200 (IP54) з монтажною панеллю 430х430</t>
  </si>
  <si>
    <t>BW-5.6.2</t>
  </si>
  <si>
    <t>Бокс монтажний навісний 500х600х200 (IP54) з монтажною панеллю 430х530</t>
  </si>
  <si>
    <t>BW-5.6.2,5</t>
  </si>
  <si>
    <t>Бокс монтажний навісний 500х600х250 (IP54) з монтажною панеллю 430х530</t>
  </si>
  <si>
    <t>BW-5.7.2</t>
  </si>
  <si>
    <t>Бокс монтажний навісний 500х700х200 (IP54) з монтажною панеллю 430х630</t>
  </si>
  <si>
    <t>BW-5.7.2,5</t>
  </si>
  <si>
    <t>Бокс монтажний навісний 500х700х250 (IP54) з монтажною панеллю 430х630</t>
  </si>
  <si>
    <t>BW-6.10.3</t>
  </si>
  <si>
    <t>Бокс монтажний навісний 600х1000х300 (IP54) з монтажною панеллю 530х930</t>
  </si>
  <si>
    <t>BW-6.12.3</t>
  </si>
  <si>
    <t>Бокс монтажний навісний 600х1200х300 (IP54) з монтажною панеллю 530х1130</t>
  </si>
  <si>
    <t>BW-6.12.4</t>
  </si>
  <si>
    <t>Бокс монтажний навісний 600х1200х400 (IP54) з монтажною панеллю 530х1130</t>
  </si>
  <si>
    <t>BW-6.6.2</t>
  </si>
  <si>
    <t>Бокс монтажний навісний 600х600х200 (IP54) з монтажною панеллю 530х530</t>
  </si>
  <si>
    <t>BW-6.6.3</t>
  </si>
  <si>
    <t>Бокс монтажний навісний 600х600х300 (IP54) з монтажною панеллю 530х530</t>
  </si>
  <si>
    <t>BW-6.7.3</t>
  </si>
  <si>
    <t>Бокс монтажний навісний 600х700х300 (IP54) з монтажною панеллю 530х630</t>
  </si>
  <si>
    <t>BW-6.8.2</t>
  </si>
  <si>
    <t>Бокс монтажний навісний 600х800х200 (IP54) з монтажною панеллю 530х730</t>
  </si>
  <si>
    <t>BW-6.8.2,5</t>
  </si>
  <si>
    <t>Бокс монтажний навісний 600х800х250 (IP54) з монтажною панеллю 530х730</t>
  </si>
  <si>
    <t>BW-6.8.3</t>
  </si>
  <si>
    <t>Бокс монтажний навісний 600х800х300 (IP54) з монтажною панеллю 530х730</t>
  </si>
  <si>
    <t>BW-7.10.3,5</t>
  </si>
  <si>
    <t>Бокс монтажний навісний 700х1000х350 (IP54) з монтажною панеллю 630х930</t>
  </si>
  <si>
    <t>BW-8.10.3</t>
  </si>
  <si>
    <t>Бокс монтажний навісний 800х1000х300 (IP54) з монтажною панеллю 730х930</t>
  </si>
  <si>
    <t>BW-8.12.2,5</t>
  </si>
  <si>
    <t>Бокс монтажний навісний 800х1200х250 (IP54) з монтажною панеллю 730х1130</t>
  </si>
  <si>
    <t>BW-8.12.3</t>
  </si>
  <si>
    <t>Бокс монтажний навісний 800х1200х300 (IP54) з монтажною панеллю 730х1130</t>
  </si>
  <si>
    <t>BW-8.12.4</t>
  </si>
  <si>
    <t>Бокс монтажний навісний 800х1200х400 (IP54) з монтажною панеллю 730х1130</t>
  </si>
  <si>
    <t>BW-8.8.3</t>
  </si>
  <si>
    <t>Бокс монтажний навісний 800х800х300 (IP54) з монтажною панеллю 730х730</t>
  </si>
  <si>
    <t>6. Бокси монтажні металеві підлогові BF</t>
  </si>
  <si>
    <t>Б00012704</t>
  </si>
  <si>
    <t>Боксы монтажные напольные БМН-120+П (IP 54)</t>
  </si>
  <si>
    <t>Б00012701</t>
  </si>
  <si>
    <t>Боксы монтажные напольные БМН-140+П (IP 54)</t>
  </si>
  <si>
    <t>БМН-180+П</t>
  </si>
  <si>
    <t>Боксы монтажные напольные БМН-180+П (IP 54)</t>
  </si>
  <si>
    <t>Б00012705</t>
  </si>
  <si>
    <t>Боксы монтажные напольные БМН-200+П (IP 54)</t>
  </si>
  <si>
    <t>BF-12.20.6(IP31)</t>
  </si>
  <si>
    <t>Бокс монтажний підлоговий  BF-12.20.6 (1200*2000*600)</t>
  </si>
  <si>
    <t>BF-6.16.4,5(IP54)</t>
  </si>
  <si>
    <t>Бокс монтажний підлоговий  BF-6.16.4,5 (600*1600*450)</t>
  </si>
  <si>
    <t>BF – 10.20.4,5</t>
  </si>
  <si>
    <t>Бокс монтажний підлоговий (IP54) BF-10.20.4,5 (1000 х 2000 х 450)</t>
  </si>
  <si>
    <t>BF – 12.20.4,5</t>
  </si>
  <si>
    <t>Бокс монтажний підлоговий (IP54) BF12.20.4,5 (1200*2000*450)</t>
  </si>
  <si>
    <t>BF – 6.18.4,5</t>
  </si>
  <si>
    <t>Бокс монтажний підлоговий (IP54) BF-6.18.4,5 (600*1800*450)</t>
  </si>
  <si>
    <t>BF – 6.20.4,5</t>
  </si>
  <si>
    <t>Бокс монтажний підлоговий (IP54) BF-6.20.4,5 (600*2000*450)</t>
  </si>
  <si>
    <t>BF-8.16.4,5</t>
  </si>
  <si>
    <t>Бокс монтажний підлоговий (IP54) BF-8.16.4,5 (800*1600*450)</t>
  </si>
  <si>
    <t>BF-8.16.6</t>
  </si>
  <si>
    <t>Бокс монтажний підлоговий (IP54) BF-8.16.6 (800*1600*600)</t>
  </si>
  <si>
    <t>BF-8.18.4</t>
  </si>
  <si>
    <t>Бокс монтажний підлоговий (IP54) BF-8.18.4(800*1800*400)</t>
  </si>
  <si>
    <t>BF-8.18.4,5</t>
  </si>
  <si>
    <t>Бокс монтажний підлоговий (IP54) BF-8.18.4,5 (800*1800*450)</t>
  </si>
  <si>
    <t>BF – 8.20.4,5</t>
  </si>
  <si>
    <t>Бокс монтажний підлоговий (IP54) BF-8.20.4,5 (800*2000*450)</t>
  </si>
  <si>
    <t>BF – 8.20.6</t>
  </si>
  <si>
    <t>Бокс монтажний підлоговий (IP54) BF-8.20.6 (800*2000*600)</t>
  </si>
  <si>
    <t>BF - 12.18.4,5</t>
  </si>
  <si>
    <t>Бокс монтажний підлоговий BF - 12.18.4,5</t>
  </si>
  <si>
    <t>EBF 8.14</t>
  </si>
  <si>
    <t>Екран BF 8.14</t>
  </si>
  <si>
    <t>Б00012740</t>
  </si>
  <si>
    <t>Панель BF 12-18</t>
  </si>
  <si>
    <t>BF-420-8</t>
  </si>
  <si>
    <t>Панель BF 420-8</t>
  </si>
  <si>
    <t>BF 8.12</t>
  </si>
  <si>
    <t>Панель BF 8.12</t>
  </si>
  <si>
    <t>BF-10-20</t>
  </si>
  <si>
    <t>Панель BF-10-20</t>
  </si>
  <si>
    <t>BF-12-20</t>
  </si>
  <si>
    <t>Панель BF-12-20</t>
  </si>
  <si>
    <t>BF-6-16</t>
  </si>
  <si>
    <t>Панель BF-6-16</t>
  </si>
  <si>
    <t>BF-6-18</t>
  </si>
  <si>
    <t>Панель BF-6-18</t>
  </si>
  <si>
    <t>BF-6-20</t>
  </si>
  <si>
    <t>Панель BF-6-20</t>
  </si>
  <si>
    <t>BF-8-16</t>
  </si>
  <si>
    <t>Панель BF-8-16</t>
  </si>
  <si>
    <t>BF-8-18</t>
  </si>
  <si>
    <t>Панель BF-8-18</t>
  </si>
  <si>
    <t>BF-8-20</t>
  </si>
  <si>
    <t>Панель BF-8-20</t>
  </si>
  <si>
    <t>SBF -20А</t>
  </si>
  <si>
    <t>Стойка BF -20А</t>
  </si>
  <si>
    <t>4.Щити поверхові ЩЭ</t>
  </si>
  <si>
    <t>1.Щити поверхові внутрішні ЩЭ</t>
  </si>
  <si>
    <t>1.Щити внутрішні під однофазний лічильник</t>
  </si>
  <si>
    <t>1.Щити внутрішні під однофазний лічильник суцільнокорпусні з слабкострумовим відсіком</t>
  </si>
  <si>
    <t>ЩЭ-2ст</t>
  </si>
  <si>
    <t>Щит поверховий ЩЭ-2ст під два однофазних лічильника, внутрішній</t>
  </si>
  <si>
    <t>ЩЭ-2ст-01</t>
  </si>
  <si>
    <t>Щит поверховий ЩЭ-2ст-01 під два однофазних лічильника, внутрішній</t>
  </si>
  <si>
    <t>ЩЭ-3ст</t>
  </si>
  <si>
    <t>Щит поверховий ЩЭ-3ст під три однофазних лічильника, внутрішній</t>
  </si>
  <si>
    <t>ЩЭ-3ст-01</t>
  </si>
  <si>
    <t>Щит поверховий ЩЭ-3ст-01 під три однофазних лічильника, внутрішній</t>
  </si>
  <si>
    <t>ЩЭ-4ст</t>
  </si>
  <si>
    <t>Щит поверховий ЩЭ-4ст під чотири однофазних лічильника, внутрішній</t>
  </si>
  <si>
    <t>ЩЭ-4ст-01</t>
  </si>
  <si>
    <t>Щит поверховий ЩЭ-4ст-01 під чотири однофазних лічильника, внутрішній</t>
  </si>
  <si>
    <t>ЩЭ-5ст-02</t>
  </si>
  <si>
    <t>Щит поверховий ЩЭ-5ст-02 під п'ять однофазних лічильників, внутрішній</t>
  </si>
  <si>
    <t>ЩЭ-6ст-02</t>
  </si>
  <si>
    <t>Щит поверховий ЩЭ-6ст-02 під шість однофазних лічильників, внутрішній</t>
  </si>
  <si>
    <t>ЩЭ-8ст-02</t>
  </si>
  <si>
    <t>Щит поверховий ЩЭ-8ст-02 під вісім однофазних лічильників, внутрішній</t>
  </si>
  <si>
    <t>ЩЭ-9ст-02</t>
  </si>
  <si>
    <t>Щит поверховий ЩЭ-9ст-02 під вісім однофазних лічильників, внутрішній</t>
  </si>
  <si>
    <t>2.Щити внутрішні під однофазний лічильник суцільнокорпусні без слабкострумового відсіка</t>
  </si>
  <si>
    <t>ЩЭ-2-01</t>
  </si>
  <si>
    <t>Щит поверховий ЩЭ-2-01 під два однофазних лічильника, внутрішній</t>
  </si>
  <si>
    <t>ЩЭ-3-01</t>
  </si>
  <si>
    <t>Щит поверховий ЩЭ-3-01 під три однофазних лічильника, внутрішній</t>
  </si>
  <si>
    <t>ЩЭ-4-01</t>
  </si>
  <si>
    <t>Щит поверховий ЩЭ-4-01 під чотири однофазних лічильника, внутрішній</t>
  </si>
  <si>
    <t>ЩЭ-5-02</t>
  </si>
  <si>
    <t>Щит поверховий ЩЭ-5-02 під п'ять однофазних лічильника, внутрішній</t>
  </si>
  <si>
    <t>ЩЭ-6-02</t>
  </si>
  <si>
    <t>Щит поверховий ЩЭ-6-02 під шість однофазних лічильника, внутрішній</t>
  </si>
  <si>
    <t>2.Щити внутрішні під одно-трифазний лічильник</t>
  </si>
  <si>
    <t>1.Щити внутрішні під одно-трифазний лічильник суцільнокорпусні зі слабкострумовим відсіком</t>
  </si>
  <si>
    <t>ЩЭ-2ст-01У</t>
  </si>
  <si>
    <t>Щит поверховий ЩЭ-2ст-01У під два однофазних (трифазних)  лічильника, внутрішній</t>
  </si>
  <si>
    <t>ЩЭ-3ст-01У</t>
  </si>
  <si>
    <t>Щит поверховий ЩЭ-3ст-01У під три однофазних (трифазних)  лічильника, внутрішній</t>
  </si>
  <si>
    <t>ЩЭ-4ст-01У</t>
  </si>
  <si>
    <t>Щит поверховий ЩЭ-4ст-01 під чотири однофазних (трифазних) лічильника, внутрішній</t>
  </si>
  <si>
    <t>ЩЭ-5ст-02У</t>
  </si>
  <si>
    <t>Щит поверховий ЩЭ-5ст-02У під п'ять однофазних (трифазних) лічильників, внутрішній</t>
  </si>
  <si>
    <t>ЩЭ-6ст-02У</t>
  </si>
  <si>
    <t>Щит поверховий ЩЭ-6ст-02У під шість однофазних (трифазних) лічильників, внутрішній</t>
  </si>
  <si>
    <t>2.Щити внутрішні під одно-трифазний лічильник каркасні зі слабкострумовим відсіком</t>
  </si>
  <si>
    <t>ЩЭЗО-2 стУ</t>
  </si>
  <si>
    <t>Щит поверховий, каркасний ЩЭЗО-2 стУ під два однофазних (трифазних) лічильника, внутрішній</t>
  </si>
  <si>
    <t>ЩЭЗО-3 стУ</t>
  </si>
  <si>
    <t>Щит поверховий, каркасний ЩЭЗО-3 стУ під три однофазних (трифазних) лічильника, внутрішній</t>
  </si>
  <si>
    <t>ЩЭЗО-4 стУ</t>
  </si>
  <si>
    <t>Щит поверховий, каркасний ЩЭЗО-4 стУ під чотири однофазних (трифазних) лічильника, внутрішній</t>
  </si>
  <si>
    <t>ЩЭЗО-5 стУ</t>
  </si>
  <si>
    <t>Щит поверховий, каркасний ЩЭЗО-5 стУ під п'ять однофазних (трифазних) лічильника, внутрішній</t>
  </si>
  <si>
    <t>ЩЭЗО-6 стУ</t>
  </si>
  <si>
    <t>Щит поверховий, каркасний ЩЭЗО-6 стУ під шість однофазних (трифазних) лічильника, внутрішній</t>
  </si>
  <si>
    <t>2.Щити поверхові навісні ЩЭ</t>
  </si>
  <si>
    <t>1.Щити навісні під однофазний лічильник</t>
  </si>
  <si>
    <t>1.Щити навісні під однофазний лічильник суцільнокорпусні зі слабкострумовим відсіком</t>
  </si>
  <si>
    <t>ЩЭ-2ст-01Н</t>
  </si>
  <si>
    <t>Щит поверховий ЩЭ-2ст-01Н під два однофазних лічильника, навісний</t>
  </si>
  <si>
    <t>ЩЭ-2ст-Н</t>
  </si>
  <si>
    <t>Щит поверховий ЩЭ-2ст-Н під два однофазних лічильника, навісний</t>
  </si>
  <si>
    <t>ЩЭ-3ст-01Н</t>
  </si>
  <si>
    <t>Щит поверховий ЩЭ-3ст-01Н під три однофазних лічильника, навісний</t>
  </si>
  <si>
    <t>ЩЭ-3ст-Н</t>
  </si>
  <si>
    <t>Щит поверховий ЩЭ-3ст-Н під три однофазних лічильника, навісний</t>
  </si>
  <si>
    <t>ЩЭ-4ст-01Н</t>
  </si>
  <si>
    <t>Щит поверховий ЩЭ-4ст-01Н під чотири однофазних лічильника, навісний</t>
  </si>
  <si>
    <t>ЩЭ-4ст-Н</t>
  </si>
  <si>
    <t>Щит поверховий ЩЭ-4ст-Н під три однофазних лічильника, навісний</t>
  </si>
  <si>
    <t>ЩЭ-5ст-02Н</t>
  </si>
  <si>
    <t>Щит поверховий ЩЭ-5ст-02Н під п'ять однофазних лічильників, навісний</t>
  </si>
  <si>
    <t>ЩЭ-6ст-02Н</t>
  </si>
  <si>
    <t>Щит поверховий ЩЭ-6ст-02Н під шість однофазних лічильників, навісний</t>
  </si>
  <si>
    <t>2.Щити навісніі під однофазний лічильник суцільнокорпусні без слабкострумового відсіка</t>
  </si>
  <si>
    <t>ЩЭ-2-01Н</t>
  </si>
  <si>
    <t>Щит поверховий ЩЭ-2-01Н під два однофазних лічильника, навісний</t>
  </si>
  <si>
    <t>ЩЭ-3-01Н</t>
  </si>
  <si>
    <t>Щит поверховий ЩЭ-3-01 під три однофазних лічильника, навісний</t>
  </si>
  <si>
    <t>ЩЭ-4-01Н</t>
  </si>
  <si>
    <t>Щит поверховий ЩЭ-4-01Н під чотири однофазних лічильника, навісний</t>
  </si>
  <si>
    <t>2.Щити навісніі під одно-трифазний лічильник</t>
  </si>
  <si>
    <t>1.Щити навісніі під одно-трифазний лічильник суцільнокорпусні з слабкострумовим відсіком</t>
  </si>
  <si>
    <t>ЩЭ-2ст 01УН</t>
  </si>
  <si>
    <t>Щит поверховий ЩЭ-2ст 01УН під два однофазних (трифазних)  лічильника, навісний</t>
  </si>
  <si>
    <t>ЩЭ-3ст 01УН</t>
  </si>
  <si>
    <t>Щит поверховий ЩЭ-3ст 01УН під три однофазних (трифазних)  лічильника, навісний</t>
  </si>
  <si>
    <t>ЩЭ-4ст 01УН</t>
  </si>
  <si>
    <t>Щит поверховий ЩЭ-4ст 01УН під чотири однофазних (трифазних)  лічильника, навісний</t>
  </si>
  <si>
    <t>ЩЕ-6ст 02 ДУН</t>
  </si>
  <si>
    <t>Щит поверховий ЩЕ-6ст 02 ДУН</t>
  </si>
  <si>
    <t>5.Корпуси металеві модульні серії KARWASZ</t>
  </si>
  <si>
    <t>15х15</t>
  </si>
  <si>
    <t>Дверцята ревізійні DR 15х15, 150х150 мм</t>
  </si>
  <si>
    <t>15х20</t>
  </si>
  <si>
    <t>Дверцята ревізійні DR 15х20, 150х200 мм</t>
  </si>
  <si>
    <t>20х20</t>
  </si>
  <si>
    <t>Дверцята ревізійні DR 20х20, 200х200 мм</t>
  </si>
  <si>
    <t>20х25</t>
  </si>
  <si>
    <t>Дверцята ревізійні DR 20х25, 200х250 мм</t>
  </si>
  <si>
    <t>25х30</t>
  </si>
  <si>
    <t>Дверцята ревізійні DR 25х30, 250х300 мм</t>
  </si>
  <si>
    <t>30х30</t>
  </si>
  <si>
    <t>Дверцята ревізійні DR 30х30, 300х300 мм</t>
  </si>
  <si>
    <t>40х60</t>
  </si>
  <si>
    <t>Дверцята ревізійні DR 40х60, 400х600 мм</t>
  </si>
  <si>
    <t>RN-36</t>
  </si>
  <si>
    <t>Шафа розподільна e.mbox.RN-36 металічна, навісна, 36 мод., 480х255х125 мм</t>
  </si>
  <si>
    <t>RN-48</t>
  </si>
  <si>
    <t>Шафа розподільна e.mbox.RN-48 металічна, навісна, 48 мод., 600х385х125 мм</t>
  </si>
  <si>
    <t>RN-6-P</t>
  </si>
  <si>
    <t>Шафа розподільна e.mbox.RN-6-P металічна, навісна, 6 мод. 215х150х125 мм</t>
  </si>
  <si>
    <t>RN-6-P Z</t>
  </si>
  <si>
    <t>Шафа розподільна e.mbox.RN-6-P-Z металічна, навісна, 6 мод. з замком, 215х150х125 мм</t>
  </si>
  <si>
    <t>RNH-36</t>
  </si>
  <si>
    <t>Шафа розподільна e.mbox.RNH-36 металічна, герметична  IP 54, навісна, 36 мод., 480х255х115 мм</t>
  </si>
  <si>
    <t>RP-12-P</t>
  </si>
  <si>
    <t>Шафа розподільна e.mbox.RP-12-P металічна, що вбудовується, 12 мод. 215х255х125 мм</t>
  </si>
  <si>
    <t>RP-48</t>
  </si>
  <si>
    <t>Шафа розподільна e.mbox.RP-48 металічна, що вбудовується, 48 мод, 600х385х125 мм</t>
  </si>
  <si>
    <t>RP-60</t>
  </si>
  <si>
    <t>Шафа розподільна e.mbox.RP-60 металічна, що вбудовується, 60 мод., 600х450х125 мм</t>
  </si>
  <si>
    <t>RP-6-P</t>
  </si>
  <si>
    <t>Шафа розподільна e.mbox.RP-6-P металічна, що вбудовується, 6 мод. 215х150х125 мм</t>
  </si>
  <si>
    <t>RP-6-P Z</t>
  </si>
  <si>
    <t>Шафа розподільна e.mbox.RP-6-P-Z металічна, що вбудовується, 6 мод. з замком, 215х150х125 мм</t>
  </si>
  <si>
    <t>RU-1-P</t>
  </si>
  <si>
    <t>Шафа розподільна e.mbox.RU-1-P металічна, навісна, під 1-ф. лічильник,6 мод., 395х175х165 мм</t>
  </si>
  <si>
    <t>RU-1-P Z</t>
  </si>
  <si>
    <t>Шафа розподільна e.mbox.RU-1-P-Z металічна навісна, під 1-ф. лічильник,6 мод., з замком, 395х175х165 мм</t>
  </si>
  <si>
    <t>RU-1-P Z/О</t>
  </si>
  <si>
    <t>Шафа розподільна e.mbox.RU-1-P-Z/О металічна навісні, під 1-ф. лічильник, 6 мод., з замком, з віконцем, 395х175х165 мм</t>
  </si>
  <si>
    <t>RU-3 Z</t>
  </si>
  <si>
    <t>Шафа розподільна e.mbox.RU-3 Z металічна навісна, під 3-ф. лічильник,12 мод.,  560х255х185 мм, з замком</t>
  </si>
  <si>
    <t>RU-36-P-Z/O</t>
  </si>
  <si>
    <t>Шафа розподільна e.mbox.RU-36-P-Z/O металічна навісна, під 3-ф. лічильник, 36 мод., з замком,  з віконцем, 560х410х185 мм</t>
  </si>
  <si>
    <t>RU-3-Z/О</t>
  </si>
  <si>
    <t>Шафа розподільна e.mbox.RU-3-Z/О металічна навісна, під 3-ф. лічильник, 12 мод., з замком, з віконцем, 560х255х185 мм</t>
  </si>
  <si>
    <t>RW-1-P</t>
  </si>
  <si>
    <t>Шафа розподільна e.mbox.RW-1-P металічна, що вбудовується, під 1-ф. лічильник, 6 мод., 395х175х165 мм</t>
  </si>
  <si>
    <t>RW-1-P Z</t>
  </si>
  <si>
    <t>Шафа розподільна e.mbox.RW-1-P-Z металічна, що вбудовується, під 1-ф. лічильник, 6 мод., з замком, 395х175х165 мм</t>
  </si>
  <si>
    <t>RW-1-P Z/О</t>
  </si>
  <si>
    <t>Шафа розподільна e.mbox.RW-1-P-Z/О металічна, що вбудовується, під 1-ф. лічильник, 6 мод., з замком, з віконцем, 395х175х165 мм</t>
  </si>
  <si>
    <t>RW-3</t>
  </si>
  <si>
    <t>Шафа розподільна e.mbox.RW-3 металічна, що вбудовується, під 3-ф. лічильник, 12 мод.,  560х255х185 мм</t>
  </si>
  <si>
    <t>43-049-5</t>
  </si>
  <si>
    <t>Засувка пластикова</t>
  </si>
  <si>
    <t>3.Щити в зборі</t>
  </si>
  <si>
    <t>1. Ящики ЯРП E.NEXT</t>
  </si>
  <si>
    <t>s0101019</t>
  </si>
  <si>
    <t>Ящик ЯПРП-63А, рубильник перекидний BP32-31B71250 IP54</t>
  </si>
  <si>
    <t>s0101008</t>
  </si>
  <si>
    <t>Ящик ЯПРП-100А, рубильник перекидний BP32-31B71250 IP31</t>
  </si>
  <si>
    <t>s0101013</t>
  </si>
  <si>
    <t>Ящик ЯПРП-100А, рубильник перекидний BP32-31B71250 IP54</t>
  </si>
  <si>
    <t>s0101009</t>
  </si>
  <si>
    <t>Ящик ЯПРП-250А, рубильник перекидний BP32-35B71250 IP31</t>
  </si>
  <si>
    <t>s0101014</t>
  </si>
  <si>
    <t>Ящик ЯПРП-250А, рубильник перекидний BP32-35B71250 IP54</t>
  </si>
  <si>
    <t>s0101010</t>
  </si>
  <si>
    <t>Ящик ЯПРП-400А, рубильник перекидний BP32-37B71250 IP31</t>
  </si>
  <si>
    <t>s0101015</t>
  </si>
  <si>
    <t>Ящик ЯПРП-400А, рубильник перекидний BP32-37B71250 IP54</t>
  </si>
  <si>
    <t>s0101011</t>
  </si>
  <si>
    <t>Ящик ЯПРП-630А, рубильник перекидний BP32-39B31250 IP31</t>
  </si>
  <si>
    <t>s0101016</t>
  </si>
  <si>
    <t>Ящик ЯПРП-630А, рубильник перекидний BP32-39B31250 IP54</t>
  </si>
  <si>
    <t>s0101020</t>
  </si>
  <si>
    <t>Ящик ЯР-100А, рубильник розривний BP32-31B31250 IP31</t>
  </si>
  <si>
    <t>s0101021</t>
  </si>
  <si>
    <t>Ящик ЯР-250А, рубильник розривний BP32-35B31250</t>
  </si>
  <si>
    <t>s0101018</t>
  </si>
  <si>
    <t>Ящик ЯР-250А, рубильник розривний BP32-35B31250 IP54</t>
  </si>
  <si>
    <t>s0101024</t>
  </si>
  <si>
    <t>Ящик ЯРП-80А, рубильник розривний BP32-31B31250 IP31</t>
  </si>
  <si>
    <t>s0101001</t>
  </si>
  <si>
    <t>Ящик ЯРП-100А, рубильник розривний BP32-31B31250 IP31</t>
  </si>
  <si>
    <t>s0101005</t>
  </si>
  <si>
    <t>Ящик ЯРП-100А, рубильник розривний BP32-31B31250 IP54</t>
  </si>
  <si>
    <t>s0101017</t>
  </si>
  <si>
    <t>Ящик ЯРП-160А, рубильник розривний BP32-35B31250 IP31</t>
  </si>
  <si>
    <t>s0101002</t>
  </si>
  <si>
    <t>Ящик ЯРП-250А, рубильник розривний BP32-35B31250 IP31</t>
  </si>
  <si>
    <t>s0101006</t>
  </si>
  <si>
    <t>Ящик ЯРП-250А, рубильник розривний BP32-35B31250 IP54</t>
  </si>
  <si>
    <t>s0101022</t>
  </si>
  <si>
    <t>Ящик ЯРП-250А, рубильник розривний BP32-35B31250 IP31 в корпусі 400</t>
  </si>
  <si>
    <t>s0101025</t>
  </si>
  <si>
    <t>Ящик ЯРП-250А, рубильник розривний BP32-39B31250 IP31 в корпусі 630</t>
  </si>
  <si>
    <t>s0101033</t>
  </si>
  <si>
    <t>Ящик ЯРП-315 А</t>
  </si>
  <si>
    <t>s0101003</t>
  </si>
  <si>
    <t>Ящик ЯРП-400А, рубильник розривний BP32-37B31250 IP31</t>
  </si>
  <si>
    <t>s0101007</t>
  </si>
  <si>
    <t>Ящик ЯРП-400А, рубильник розривний BP32-37B31250 IP54</t>
  </si>
  <si>
    <t>s0101023</t>
  </si>
  <si>
    <t>Ящик ЯРП-400А, рубильник розривний BP32-35B31250 IP31 в корпусі 630</t>
  </si>
  <si>
    <t>s0101012</t>
  </si>
  <si>
    <t>Ящик ЯРП-630А, рубильник розривний BP32-39B31250 IP31</t>
  </si>
  <si>
    <t>s0101004</t>
  </si>
  <si>
    <t>Ящик ЯРП-630А, рубильник розривний BP32-39B31250 IP54</t>
  </si>
  <si>
    <t>2. Ящики ЯТП зі знижувальним трансформатором E.NEXT</t>
  </si>
  <si>
    <t>2.ЯТП-0,25</t>
  </si>
  <si>
    <t>s0102001</t>
  </si>
  <si>
    <t>Ящик із знижувальним трансформатором ЯТП-0,25 220/12В IP31</t>
  </si>
  <si>
    <t>s0102002</t>
  </si>
  <si>
    <t>Ящик із знижувальним трансформатором ЯТП-0,25 220/12В IP54</t>
  </si>
  <si>
    <t>s0102019</t>
  </si>
  <si>
    <t>Ящик із знижувальним трансформатором ЯТП-0,25 220/12В-A IP31</t>
  </si>
  <si>
    <t>s0102003</t>
  </si>
  <si>
    <t>Ящик із знижувальним трансформатором ЯТП-0,25 220/24В IP31</t>
  </si>
  <si>
    <t>s0102004</t>
  </si>
  <si>
    <t>Ящик із знижувальним трансформатором ЯТП-0,25 220/24В IP54</t>
  </si>
  <si>
    <t>s0102014</t>
  </si>
  <si>
    <t>Ящик із знижувальним трансформатором ЯТП-0,25 220/24В-A IP31</t>
  </si>
  <si>
    <t>s0102005</t>
  </si>
  <si>
    <t>Ящик із знижувальним трансформатором ЯТП-0,25 220/36В IP31</t>
  </si>
  <si>
    <t>s0102006</t>
  </si>
  <si>
    <t>Ящик із знижувальним трансформатором ЯТП-0,25 220/36В IP54</t>
  </si>
  <si>
    <t>s0102020</t>
  </si>
  <si>
    <t>Ящик із знижувальним трансформатором ЯТП-0,25 220/36В-A IP31</t>
  </si>
  <si>
    <t>s0102007</t>
  </si>
  <si>
    <t>Ящик із знижувальним трансформатором ЯТП-0,25 220/42В IP31</t>
  </si>
  <si>
    <t>s0102008</t>
  </si>
  <si>
    <t>Ящик із знижувальним трансформатором ЯТП-0,25 220/42В IP54</t>
  </si>
  <si>
    <t>s0102021</t>
  </si>
  <si>
    <t>Ящик із знижувальним трансформатором ЯТП-0,25 220/42В-A IP31</t>
  </si>
  <si>
    <t>s0102034</t>
  </si>
  <si>
    <t>Ящик із знижувальним трансформатором ЯТП-0,25 380/220В IP31</t>
  </si>
  <si>
    <t>3.ЯТП-0,4</t>
  </si>
  <si>
    <t>s0102009</t>
  </si>
  <si>
    <t>Ящик із знижувальним трансформатором ЯТП-0,4 220/12В IP31</t>
  </si>
  <si>
    <t>s0102010</t>
  </si>
  <si>
    <t>Ящик із знижувальним трансформатором ЯТП-0,4 220/12В IP54</t>
  </si>
  <si>
    <t>s0102022</t>
  </si>
  <si>
    <t>Ящик із знижувальним трансформатором ЯТП-0,4 220/12В-A IP31</t>
  </si>
  <si>
    <t>s0102011</t>
  </si>
  <si>
    <t>Ящик із знижувальним трансформатором ЯТП-0,4 220/24В IP31</t>
  </si>
  <si>
    <t>s0102012</t>
  </si>
  <si>
    <t>Ящик із знижувальним трансформатором ЯТП-0,4 220/24В IP54</t>
  </si>
  <si>
    <t>s0102023</t>
  </si>
  <si>
    <t>Ящик із знижувальним трансформатором ЯТП-0,4 220/24В-A IP31</t>
  </si>
  <si>
    <t>s0102015</t>
  </si>
  <si>
    <t>Ящик із знижувальним трансформатором ЯТП-0,4 220/36В IP31</t>
  </si>
  <si>
    <t>s0102016</t>
  </si>
  <si>
    <t>Ящик із знижувальним трансформатором ЯТП-0,4 220/36В IP54</t>
  </si>
  <si>
    <t>s0102024</t>
  </si>
  <si>
    <t>Ящик із знижувальним трансформатором ЯТП-0,4 220/36В-A IP31</t>
  </si>
  <si>
    <t>s0102017</t>
  </si>
  <si>
    <t>Ящик із знижувальним трансформатором ЯТП-0,4 220/42В IP31</t>
  </si>
  <si>
    <t>s0102018</t>
  </si>
  <si>
    <t>Ящик із знижувальним трансформатором ЯТП-0,4 220/42В IP54</t>
  </si>
  <si>
    <t>s0102025</t>
  </si>
  <si>
    <t>Ящик із знижувальним трансформатором ЯТП-0,4 220/42В-A IP31</t>
  </si>
  <si>
    <t>s0102035</t>
  </si>
  <si>
    <t>Ящик із знижувальним трансформатором ЯТП-0,4 380/220В IP31</t>
  </si>
  <si>
    <t>4.ЯТП-0,63</t>
  </si>
  <si>
    <t>s0102085</t>
  </si>
  <si>
    <t>Ящик із знижувальним трансформатором ЯТП-0,63 220/12В IP31</t>
  </si>
  <si>
    <t>s0102086</t>
  </si>
  <si>
    <t>Ящик із знижувальним трансформатором ЯТП-0,63 220/12В IP54</t>
  </si>
  <si>
    <t>s0102026</t>
  </si>
  <si>
    <t>Ящик із знижувальним трансформатором ЯТП-0,63 220/12В-A IP31</t>
  </si>
  <si>
    <t>s0102087</t>
  </si>
  <si>
    <t>Ящик із знижувальним трансформатором ЯТП-0,63 220/24В IP31</t>
  </si>
  <si>
    <t>s0102088</t>
  </si>
  <si>
    <t>Ящик із знижувальним трансформатором ЯТП-0,63 220/24В IP54</t>
  </si>
  <si>
    <t>s0102027</t>
  </si>
  <si>
    <t>Ящик із знижувальним трансформатором ЯТП-0,63 220/24В-A IP31</t>
  </si>
  <si>
    <t>s0102089</t>
  </si>
  <si>
    <t>Ящик із знижувальним трансформатором ЯТП-0,63 220/36В IP31</t>
  </si>
  <si>
    <t>s0102090</t>
  </si>
  <si>
    <t>Ящик із знижувальним трансформатором ЯТП-0,63 220/36В IP54</t>
  </si>
  <si>
    <t>s0102028</t>
  </si>
  <si>
    <t>Ящик із знижувальним трансформатором ЯТП-0,63 220/36В-A IP31</t>
  </si>
  <si>
    <t>s0102029</t>
  </si>
  <si>
    <t>Ящик із знижувальним трансформатором ЯТП-0,63 220/42В-A IP31</t>
  </si>
  <si>
    <t>5.ЯТП-1,0</t>
  </si>
  <si>
    <t>s0102013</t>
  </si>
  <si>
    <t>Ящик із знижувальним трансформатором ЯТП-1,0 220/12В IP31</t>
  </si>
  <si>
    <t>s0102091</t>
  </si>
  <si>
    <t>Ящик із знижувальним трансформатором ЯТП-1,0 220/12В IP54</t>
  </si>
  <si>
    <t>s0102093</t>
  </si>
  <si>
    <t>Ящик із знижувальним трансформатором ЯТП-1,0 220/12В-А IP31</t>
  </si>
  <si>
    <t>s0102092</t>
  </si>
  <si>
    <t>Ящик із знижувальним трансформатором ЯТП-1,0 220/24В IP31</t>
  </si>
  <si>
    <t>s0102094</t>
  </si>
  <si>
    <t>Ящик із знижувальним трансформатором ЯТП-1,0 220/24В IP54</t>
  </si>
  <si>
    <t>s0102095</t>
  </si>
  <si>
    <t>Ящик із знижувальним трансформатором ЯТП-1,0 220/36В IP31</t>
  </si>
  <si>
    <t>s0102096</t>
  </si>
  <si>
    <t>Ящик із знижувальним трансформатором ЯТП-1,0 220/36В IP54</t>
  </si>
  <si>
    <t>s0102097</t>
  </si>
  <si>
    <t>Ящик із знижувальним трансформатором ЯТП-1,0 220/42В IP31</t>
  </si>
  <si>
    <t>s0102099</t>
  </si>
  <si>
    <t>Ящик із знижувальним трансформатором ЯТП-1,0 220/42В IP54</t>
  </si>
  <si>
    <t>6.ЯТП-1,2</t>
  </si>
  <si>
    <t>s0102101</t>
  </si>
  <si>
    <t>Ящик із знижувальним трансформатором ЯТП-1,2 220/12В IP31</t>
  </si>
  <si>
    <t>s0102102</t>
  </si>
  <si>
    <t>Ящик із знижувальним трансформатором ЯТП-1,2 220/12В IP54</t>
  </si>
  <si>
    <t>s0102032</t>
  </si>
  <si>
    <t>Ящик із знижувальним трансформатором ЯТП-1,2 220/12В-А IP31</t>
  </si>
  <si>
    <t>s0102103</t>
  </si>
  <si>
    <t>Ящик із знижувальним трансформатором ЯТП-1,2 220/24В IP31</t>
  </si>
  <si>
    <t>s0102104</t>
  </si>
  <si>
    <t>Ящик із знижувальним трансформатором ЯТП-1,2 220/24В IP54</t>
  </si>
  <si>
    <t>s0102105</t>
  </si>
  <si>
    <t>Ящик із знижувальним трансформатором ЯТП-1,2 220/36В IP31</t>
  </si>
  <si>
    <t>s0102106</t>
  </si>
  <si>
    <t>Ящик із знижувальним трансформатором ЯТП-1,2 220/36В IP54</t>
  </si>
  <si>
    <t>s0102033</t>
  </si>
  <si>
    <t>Ящик із знижувальним трансформатором ЯТП-1,2 220/36В-А IP31</t>
  </si>
  <si>
    <t>s0102107</t>
  </si>
  <si>
    <t>Ящик із знижувальним трансформатором ЯТП-1,2 220/42В IP31</t>
  </si>
  <si>
    <t>s0102108</t>
  </si>
  <si>
    <t>Ящик із знижувальним трансформатором ЯТП-1,2 220/42В IP54</t>
  </si>
  <si>
    <t>7.ЯТП-1,38</t>
  </si>
  <si>
    <t>s0102030</t>
  </si>
  <si>
    <t>Ящик із знижувальним трансформатором ЯТП-1,38 220/12.24.36.42.110.220В IP31</t>
  </si>
  <si>
    <t>8.ЯТП-1,4</t>
  </si>
  <si>
    <t>s0102109</t>
  </si>
  <si>
    <t>Ящик із знижувальним трансформатором  ЯТП-1,4 220/12В IP31</t>
  </si>
  <si>
    <t>s0102110</t>
  </si>
  <si>
    <t>Ящик із знижувальним трансформатором ЯТП-1,4 220/12В IP54</t>
  </si>
  <si>
    <t>s0102112</t>
  </si>
  <si>
    <t>Ящик із знижувальним трансформатором ЯТП-1,4 220/12В-А IP31</t>
  </si>
  <si>
    <t>s0102113</t>
  </si>
  <si>
    <t>Ящик із знижувальним трансформатором  ЯТП-1,4 220/24В IP31</t>
  </si>
  <si>
    <t>s0102114</t>
  </si>
  <si>
    <t>Ящик із знижувальним трансформатором  ЯТП-1,4 220/24В IP54</t>
  </si>
  <si>
    <t>s0102116</t>
  </si>
  <si>
    <t>Ящик із знижувальним трансформатором ЯТП-1,4 220/36В IP31</t>
  </si>
  <si>
    <t>s0102115</t>
  </si>
  <si>
    <t>Ящик із знижувальним трансформатором ЯТП-1,4 220/36В IP54</t>
  </si>
  <si>
    <t>s0102117</t>
  </si>
  <si>
    <t>Ящик із знижувальним трансформатором ЯТП-1,4 220/42В IP31</t>
  </si>
  <si>
    <t>s0102118</t>
  </si>
  <si>
    <t>Ящик із знижувальним трансформатором ЯТП-1,4 220/42В IP54</t>
  </si>
  <si>
    <t>4.Аксесуари для корпусів</t>
  </si>
  <si>
    <t>1.Клімат-контроль щитовий</t>
  </si>
  <si>
    <t>s0102036</t>
  </si>
  <si>
    <t>Термостат e.climatboard.01 1NС червоний</t>
  </si>
  <si>
    <t>s0102037</t>
  </si>
  <si>
    <t>Термостат e.climatboard.02 1NO блакитний</t>
  </si>
  <si>
    <t>s0102038</t>
  </si>
  <si>
    <t>Вентилятор e.climatboard.03 АС230В 120х120х25мм 18Вт</t>
  </si>
  <si>
    <t>s0102039</t>
  </si>
  <si>
    <t>Решітка з фільтром e.climatboard.04 до вентилятора 120х120мм</t>
  </si>
  <si>
    <t>s0102040</t>
  </si>
  <si>
    <t>Вентилятор e.climatboard.05 АС230В 150х150х50мм 27Вт</t>
  </si>
  <si>
    <t>s0102041</t>
  </si>
  <si>
    <t>Решітка з фільтром e.climatboard.06 до вентилятора 150х150мм</t>
  </si>
  <si>
    <t>s0102042</t>
  </si>
  <si>
    <t>Вентилятор e.climatboard.07 АС230В 200х200х60мм 63Вт</t>
  </si>
  <si>
    <t>s0102043</t>
  </si>
  <si>
    <t>Решітка з фільтром e.climatboard.08 до вентилятора 200х200мм</t>
  </si>
  <si>
    <t>s0102044</t>
  </si>
  <si>
    <t>Елемент нагрівальний e.climatboard.09 АС230В 15Вт</t>
  </si>
  <si>
    <t>s0102045</t>
  </si>
  <si>
    <t>Елемент нагрівальний e.climatboard.10 АС230В 30Вт</t>
  </si>
  <si>
    <t>s0102046</t>
  </si>
  <si>
    <t>Елемент нагрівальний e.climatboard.11 АС230В 45Вт</t>
  </si>
  <si>
    <t>s0102047</t>
  </si>
  <si>
    <t>Елемент нагрівальний e.climatboard.12 АС230В 60Вт</t>
  </si>
  <si>
    <t>s0102048</t>
  </si>
  <si>
    <t>Елемент нагрівальний e.climatboard.13 АС230В 100Вт</t>
  </si>
  <si>
    <t>2.Замки серії e.lock для  корпусів металевих</t>
  </si>
  <si>
    <t>s053001</t>
  </si>
  <si>
    <t>Замок e.lock.stand для шаф металевих</t>
  </si>
  <si>
    <t>s053101</t>
  </si>
  <si>
    <t>Замок e.lock.01 подвійна бородка, 22-25/50, металевий ключ</t>
  </si>
  <si>
    <t>s053102</t>
  </si>
  <si>
    <t>Замок e.lock.02 подвійна бородка, 22-25/50, пластиковий ключ</t>
  </si>
  <si>
    <t>s053103</t>
  </si>
  <si>
    <t>Замок e.lock.03 під англ. ключ, 18-20/40</t>
  </si>
  <si>
    <t>s053104</t>
  </si>
  <si>
    <t>Замок e.lock.04 квадрат, 20-25/42, IP65</t>
  </si>
  <si>
    <t>s053105</t>
  </si>
  <si>
    <t>Замок-ручка e.lock.05 з кнопкою відкриття, IP54</t>
  </si>
  <si>
    <t>s053106</t>
  </si>
  <si>
    <t>Замок-ручка з механізмом e.lock.06</t>
  </si>
  <si>
    <t>6.Вироби для монтажу</t>
  </si>
  <si>
    <t>1.Вироби для щитового обладнання</t>
  </si>
  <si>
    <t>1.Клемні колодки TC, LC</t>
  </si>
  <si>
    <t>1.Клемні колодки TC ділимі серії STAND</t>
  </si>
  <si>
    <t>s016015</t>
  </si>
  <si>
    <t>Клемна колодка ділима, 12групп  e.tc.stand.12.2.5.black, 2 А, чорна</t>
  </si>
  <si>
    <t>s016022</t>
  </si>
  <si>
    <t>Клемна колодка ділима, 12групп  e.tc.stand.12.2.5.orange, 2 А, помаранчева</t>
  </si>
  <si>
    <t>s016008</t>
  </si>
  <si>
    <t>Клемна колодка ділима, 12групп  e.tc.stand.12.2.5.transparent, 2 А, прозора</t>
  </si>
  <si>
    <t>s016001</t>
  </si>
  <si>
    <t>Клемна колодка ділима, 12групп  e.tc.stand.12.4, 3 А</t>
  </si>
  <si>
    <t>s016016</t>
  </si>
  <si>
    <t>Клемна колодка ділима, 12групп  e.tc.stand.12.4.black, 3 А, чорна</t>
  </si>
  <si>
    <t>s016023</t>
  </si>
  <si>
    <t>Клемна колодка ділима, 12групп  e.tc.stand.12.4.orange, 3 А, помаранчева</t>
  </si>
  <si>
    <t>s016009</t>
  </si>
  <si>
    <t>Клемна колодка ділима, 12групп  e.tc.stand.12.4.transparent, 3 А, прозора</t>
  </si>
  <si>
    <t>s016002</t>
  </si>
  <si>
    <t>Клемна колодка ділима, 12групп  e.tc.stand.12.6, 6 А</t>
  </si>
  <si>
    <t>s016017</t>
  </si>
  <si>
    <t>Клемна колодка ділима, 12групп  e.tc.stand.12.6.black, 6 А, чорна</t>
  </si>
  <si>
    <t>s016024</t>
  </si>
  <si>
    <t>Клемна колодка ділима, 12групп  e.tc.stand.12.6.orange, 6 А, помаранчева</t>
  </si>
  <si>
    <t>s016010</t>
  </si>
  <si>
    <t>Клемна колодка ділима, 12групп  e.tc.stand.12.6.transparent, 6 А, прозора</t>
  </si>
  <si>
    <t>s016003</t>
  </si>
  <si>
    <t>Клемна колодка ділима, 12групп  e.tc.stand.12.10, 10 А</t>
  </si>
  <si>
    <t>s016018</t>
  </si>
  <si>
    <t>Клемна колодка ділима, 12групп  e.tc.stand.12.10.black, 10 А, чорна</t>
  </si>
  <si>
    <t>s016025</t>
  </si>
  <si>
    <t>Клемна колодка ділима, 12групп  e.tc.stand.12.10.orange, 10 А, помаранчева</t>
  </si>
  <si>
    <t>s016011</t>
  </si>
  <si>
    <t>Клемна колодка ділима, 12групп  e.tc.stand.12.10.transparent, 10 А, прозора</t>
  </si>
  <si>
    <t>s016004</t>
  </si>
  <si>
    <t>Клемна колодка ділима, 12групп  e.tc.stand.12.14, 16 А</t>
  </si>
  <si>
    <t>s016019</t>
  </si>
  <si>
    <t>Клемна колодка ділима, 12групп  e.tc.stand.12.14.black, 20 А, чорна</t>
  </si>
  <si>
    <t>s016026</t>
  </si>
  <si>
    <t>Клемна колодка ділима, 12групп  e.tc.stand.12.14.orange, 20 А, помаранчева</t>
  </si>
  <si>
    <t>s016012</t>
  </si>
  <si>
    <t>Клемна колодка ділима, 12групп  e.tc.stand.12.14.transparent, 20 А, прозора</t>
  </si>
  <si>
    <t>s016007</t>
  </si>
  <si>
    <t>Клемна колодка ділима, 12групп  e.tc.stand.12.16, 30 А</t>
  </si>
  <si>
    <t>s016020</t>
  </si>
  <si>
    <t>Клемна колодка ділима, 12групп  e.tc.stand.12.20.black, 30 А, чорна</t>
  </si>
  <si>
    <t>s016027</t>
  </si>
  <si>
    <t>Клемна колодка ділима, 12групп  e.tc.stand.12.20.orange, 30 А, помаранчева</t>
  </si>
  <si>
    <t>s016013</t>
  </si>
  <si>
    <t>Клемна колодка ділима, 12групп  e.tc.stand.12.20.transparent, 30 А, прозора</t>
  </si>
  <si>
    <t>s016005</t>
  </si>
  <si>
    <t>Клемна колодка ділима, 12групп  e.tc.stand.12.25, 60 А</t>
  </si>
  <si>
    <t>s016021</t>
  </si>
  <si>
    <t>Клемна колодка ділима, 12групп  e.tc.stand.12.25.black, 60 А, чорна</t>
  </si>
  <si>
    <t>s016028</t>
  </si>
  <si>
    <t>Клемна колодка ділима, 12групп  e.tc.stand.12.25.orange, 60 А, помаранчева</t>
  </si>
  <si>
    <t>s016014</t>
  </si>
  <si>
    <t>Клемна колодка ділима, 12групп  e.tc.stand.12.25.transparent, 60 А, прозора</t>
  </si>
  <si>
    <t>s016006</t>
  </si>
  <si>
    <t>Клемна колодка ділима, 12групп  e.tc.stand.12.40, 100 А</t>
  </si>
  <si>
    <t>2.Клемні колодки набірні на DIN-рейку серії PRO</t>
  </si>
  <si>
    <t>1.Клемні колодки набірні DIN серії PRO</t>
  </si>
  <si>
    <t>p049001</t>
  </si>
  <si>
    <t>Клемна колодка набірна на DIN-рейку e.tc.din.pro.2.5, без кришки</t>
  </si>
  <si>
    <t>p049022</t>
  </si>
  <si>
    <t>Клемна колодка набірна на DIN-рейку e.tc.din.pro.2.5.blue, синя, без кришки</t>
  </si>
  <si>
    <t>p049002</t>
  </si>
  <si>
    <t>Клемна колодка набірна на DIN-рейку e.tc.din.pro.4, без кришки</t>
  </si>
  <si>
    <t>p049024</t>
  </si>
  <si>
    <t>Клемна колодка набірна на DIN-рейку e.tc.din.pro.4.blue, синя, без кришки</t>
  </si>
  <si>
    <t>p049003</t>
  </si>
  <si>
    <t>Клемна колодка набірна на DIN-рейку e.tc.din.pro.6, без кришки</t>
  </si>
  <si>
    <t>p049026</t>
  </si>
  <si>
    <t>Клемна колодка набірна на DIN-рейку e.tc.din.pro.6.blue, синя, без кришки</t>
  </si>
  <si>
    <t>p049004</t>
  </si>
  <si>
    <t>Клемна колодка набірна на DIN-рейку e.tc.din.pro.10, без кришки</t>
  </si>
  <si>
    <t>p049020</t>
  </si>
  <si>
    <t>Клемна колодка набірна на DIN-рейку e.tc.din.pro.10.blue, синя, без кришки</t>
  </si>
  <si>
    <t>p049005</t>
  </si>
  <si>
    <t>Клемна колодка набірна на DIN-рейку e.tc.din.pro.16, без кришки</t>
  </si>
  <si>
    <t>p049021</t>
  </si>
  <si>
    <t>Клемна колодка набірна на DIN-рейку e.tc.din.pro.16.blue, синя, без кришки</t>
  </si>
  <si>
    <t>p049006</t>
  </si>
  <si>
    <t>Клемна колодка набірна на DIN-рейку e.tc.din.pro.35, без кришки</t>
  </si>
  <si>
    <t>p049023</t>
  </si>
  <si>
    <t>Клемна колодка набірна на DIN-рейку e.tc.din.pro.35.blue, синя, без кришки</t>
  </si>
  <si>
    <t>p049007</t>
  </si>
  <si>
    <t>Клемна колодка набірна на DIN-рейку e.tc.din.pro.50, з кришкою</t>
  </si>
  <si>
    <t>p049025</t>
  </si>
  <si>
    <t>Клемна колодка набірна на DIN-рейку e.tc.din.pro.50.blue, синя, з кришкою</t>
  </si>
  <si>
    <t>p049008</t>
  </si>
  <si>
    <t>Клемна колодка набірна на DIN-рейку e.tc.din.pro.70, без кришки</t>
  </si>
  <si>
    <t>p049027</t>
  </si>
  <si>
    <t>Клемна колодка набірна на DIN-рейку e.tc.din.pro.70.blue, синя, без кришки</t>
  </si>
  <si>
    <t>p049009</t>
  </si>
  <si>
    <t>Клемна колодка набірна на DIN-рейку e.tc.din.pro.95, з кришкою</t>
  </si>
  <si>
    <t>p049028</t>
  </si>
  <si>
    <t>Клемна колодка набірна на DIN-рейку e.tc.din.pro.95.blue, синя, з кришкою</t>
  </si>
  <si>
    <t>p049010</t>
  </si>
  <si>
    <t>Клемна колодка набірна на DIN-рейку e.tc.din.pro.150, з кришкою</t>
  </si>
  <si>
    <t>2.Роздільник для набірних клемних колодок SEP серії PRO</t>
  </si>
  <si>
    <t>p051001</t>
  </si>
  <si>
    <t>Роздільник для набірних клемних колодок e.tc.sep.pro.2.5</t>
  </si>
  <si>
    <t>p051002</t>
  </si>
  <si>
    <t>Роздільник для набірних клемних колодок e.tc.sep.pro.4.10</t>
  </si>
  <si>
    <t>p051003</t>
  </si>
  <si>
    <t>Роздільник для набірних клемних колодок e.tc.sep.pro.16</t>
  </si>
  <si>
    <t>p051004</t>
  </si>
  <si>
    <t>Роздільник для набірних клемних колодок e.tc.sep.pro.35</t>
  </si>
  <si>
    <t>3.Набірні клемні колодки заземлення Z серії PRO</t>
  </si>
  <si>
    <t>p050001</t>
  </si>
  <si>
    <t>Набірна клемна колодка заземлення на DIN-рейку e.tc.z.din.pro.2.5</t>
  </si>
  <si>
    <t>p050002</t>
  </si>
  <si>
    <t>Набірна клемна колодка заземлення на DIN-рейку e.tc.z.din.pro.4</t>
  </si>
  <si>
    <t>p050003</t>
  </si>
  <si>
    <t>Набірна клемна колодка заземлення на DIN-рейку e.tc.z.din.pro.6</t>
  </si>
  <si>
    <t>p050004</t>
  </si>
  <si>
    <t>Набірна клемна колодка заземлення на DIN-рейку e.tc.z.din.pro.10</t>
  </si>
  <si>
    <t>p050005</t>
  </si>
  <si>
    <t>Набірна клемна колодка заземлення на DIN-рейку e.tc.z.din.pro.16</t>
  </si>
  <si>
    <t>4.Фіксатор для набірних колодок END серії PRO</t>
  </si>
  <si>
    <t>p051005</t>
  </si>
  <si>
    <t>Фіксатор для набірних клемних колодок на DIN-рейку e.tc.din.pro.end</t>
  </si>
  <si>
    <t>p051006</t>
  </si>
  <si>
    <t>Обмежувач на DIN-рейку металевий e.tc.din.pro.end.metal</t>
  </si>
  <si>
    <t>3.Клемні колодки захищенні PROTECT</t>
  </si>
  <si>
    <t>p056001</t>
  </si>
  <si>
    <t>Клемна колодка захищена e.tc.protect.15.3, 15А, 3 полюса</t>
  </si>
  <si>
    <t>p056002</t>
  </si>
  <si>
    <t>Клемна колодка захищена e.tc.protect.15.4, 15А, 4 полюса</t>
  </si>
  <si>
    <t>p056003</t>
  </si>
  <si>
    <t>Клемна колодка захищена e.tc.protect.15.6, 15А, 6 полюсів</t>
  </si>
  <si>
    <t>p056004</t>
  </si>
  <si>
    <t>Клемна колодка захищена e.tc.protect.15.10, 15А, 10 полюсів</t>
  </si>
  <si>
    <t>p056005</t>
  </si>
  <si>
    <t>Клемна колодка захищена e.tc.protect.15.12, 15А, 12 полюсів</t>
  </si>
  <si>
    <t>p056006</t>
  </si>
  <si>
    <t>Клемна колодка захищена e.tc.protect.25.3, 25А, 3 полюса</t>
  </si>
  <si>
    <t>p056007</t>
  </si>
  <si>
    <t>Клемна колодка захищена e.tc.protect.25.4, 25А, 4 полюса</t>
  </si>
  <si>
    <t>p056008</t>
  </si>
  <si>
    <t>Клемна колодка захищена e.tc.protect.25.6, 25А, 6 полюсів</t>
  </si>
  <si>
    <t>p056009</t>
  </si>
  <si>
    <t>Клемна колодка захищена e.tc.protect.25.10, 25А, 10 полюсів</t>
  </si>
  <si>
    <t>p056010</t>
  </si>
  <si>
    <t>Клемна колодка захищена e.tc.protect.25.12, 25А, 12 полюсів</t>
  </si>
  <si>
    <t>p056011</t>
  </si>
  <si>
    <t>Клемна колодка захищена e.tc.protect.35.3, 35А, 3 полюса</t>
  </si>
  <si>
    <t>p056012</t>
  </si>
  <si>
    <t>Клемна колодка захищена e.tc.protect.35.4, 35А, 4 полюса</t>
  </si>
  <si>
    <t>p056013</t>
  </si>
  <si>
    <t>Клемна колодка захищена e.tc.protect.35.6, 35А, 6 полюсів</t>
  </si>
  <si>
    <t>p056014</t>
  </si>
  <si>
    <t>Клемна колодка захищена e.tc.protect.35.12, 35А, 12 полюсів</t>
  </si>
  <si>
    <t>p056015</t>
  </si>
  <si>
    <t>Клемна колодка захищена e.tc.protect.45.3, 45А, 3 полюса</t>
  </si>
  <si>
    <t>p056016</t>
  </si>
  <si>
    <t>Клемна колодка захищена e.tc.protect.45.4, 45А, 4 полюса</t>
  </si>
  <si>
    <t>p056017</t>
  </si>
  <si>
    <t>Клемна колодка захищена e.tc.protect.45.6, 45А, 6 полюсів</t>
  </si>
  <si>
    <t>p056018</t>
  </si>
  <si>
    <t>Клемна колодка захищена e.tc.protect.45.12, 45А, 12 полюсів</t>
  </si>
  <si>
    <t>p056019</t>
  </si>
  <si>
    <t>Клемна колодка захищена e.tc.protect.60.3, 60А, 3 полюса</t>
  </si>
  <si>
    <t>p056020</t>
  </si>
  <si>
    <t>Клемна колодка захищена e.tc.protect.60.4, 60А, 4 полюса</t>
  </si>
  <si>
    <t>p056021</t>
  </si>
  <si>
    <t>Клемна колодка захищена e.tc.protect.60.6, 60А, 6 полюсів</t>
  </si>
  <si>
    <t>p056022</t>
  </si>
  <si>
    <t>Клемна колодка захищена e.tc.protect.60.12, 60А, 12 полюсів</t>
  </si>
  <si>
    <t>p056023</t>
  </si>
  <si>
    <t>Клемна колодка захищена e.tc.protect.100.3, 100А, 3 полюса</t>
  </si>
  <si>
    <t>p056024</t>
  </si>
  <si>
    <t>Клемна колодка захищена e.tc.protect.100.4, 100А, 4 полюса</t>
  </si>
  <si>
    <t>p056025</t>
  </si>
  <si>
    <t>Клемна колодка захищена e.tc.protect.100.6, 100А, 6 полюсів</t>
  </si>
  <si>
    <t>p056026</t>
  </si>
  <si>
    <t>Клемна колодка захищена e.tc.protect.100.12, 100А, 12 полюсів</t>
  </si>
  <si>
    <t>4.Клемні колодки з натискним важелем LC</t>
  </si>
  <si>
    <t>p0660101</t>
  </si>
  <si>
    <t>Клемна колодка e.lc.pro.aw.pl.2 з натискним важелем</t>
  </si>
  <si>
    <t>p0660102</t>
  </si>
  <si>
    <t>Клемна колодка e.lc.pro.aw.pl.3 з натискним важелем</t>
  </si>
  <si>
    <t>p0660103</t>
  </si>
  <si>
    <t>Клемна колодка e.lc.pro.aw.pl.5 з натискним важелем</t>
  </si>
  <si>
    <t>p0660001</t>
  </si>
  <si>
    <t>Клемна колодка e.lc.pro.pl.2 з натискним важелем</t>
  </si>
  <si>
    <t>p0660002</t>
  </si>
  <si>
    <t>Клемна колодка e.lc.pro.pl.3 з натискним важелем</t>
  </si>
  <si>
    <t>p0660003</t>
  </si>
  <si>
    <t>Клемна колодка e.lc.pro.pl.5 з натискним важелем</t>
  </si>
  <si>
    <t>4а.Клемні колодки з натискним важелем LC (для Епіцентр)</t>
  </si>
  <si>
    <t>p0660004</t>
  </si>
  <si>
    <t>Клемна колодка e.lc.pro.pl.2 з натискним важелем (5 шт)</t>
  </si>
  <si>
    <t>пак</t>
  </si>
  <si>
    <t>p0660005</t>
  </si>
  <si>
    <t>Клемна колодка e.lc.pro.pl.3 з натискним важелем (5 шт)</t>
  </si>
  <si>
    <t>p0660006</t>
  </si>
  <si>
    <t>Клемна колодка e.lc.pro.pl.5 з натискним важелем (5 шт)</t>
  </si>
  <si>
    <t>5.Клемник кінцевий END серії STAND</t>
  </si>
  <si>
    <t>s2039001</t>
  </si>
  <si>
    <t>Кінцевий клемник e.tc.end.stand.5.4, 5шт, 4 кв.мм</t>
  </si>
  <si>
    <t>s2039002</t>
  </si>
  <si>
    <t>Кінцевий клемник e.tc.end.stand.5.6, 5шт, 6 кв.мм</t>
  </si>
  <si>
    <t>s2039003</t>
  </si>
  <si>
    <t>Кінцевий клемник e.tc.end.stand.5.10, 5шт, 10 кв.мм</t>
  </si>
  <si>
    <t>s2039004</t>
  </si>
  <si>
    <t>Кінцевий клемник e.tc.end.stand.5.16, 5шт, 16 кв.мм</t>
  </si>
  <si>
    <t>6.Клемні колодки AC серії PRO</t>
  </si>
  <si>
    <t>1.Клемні колодки серії AC (під Епіцентр)</t>
  </si>
  <si>
    <t>p0670005</t>
  </si>
  <si>
    <t>Клемна колодка e.lc.pro.ac.2 (5 шт)</t>
  </si>
  <si>
    <t>p0670006</t>
  </si>
  <si>
    <t>Клемна колодка e.lc.pro.ac.4 (5 шт)</t>
  </si>
  <si>
    <t>p0670007</t>
  </si>
  <si>
    <t>Клемна колодка e.lc.pro.ac.6 (5 шт)</t>
  </si>
  <si>
    <t>p0670008</t>
  </si>
  <si>
    <t>Клемна колодка e.lc.pro.ac.8 (5 шт)</t>
  </si>
  <si>
    <t>p0670001</t>
  </si>
  <si>
    <t>Клемна колодка e.lc.pro.ac.2</t>
  </si>
  <si>
    <t>p0670002</t>
  </si>
  <si>
    <t>Клемна колодка e.lc.pro.ac.4</t>
  </si>
  <si>
    <t>p0670003</t>
  </si>
  <si>
    <t>Клемна колодка e.lc.pro.ac.6</t>
  </si>
  <si>
    <t>p0670004</t>
  </si>
  <si>
    <t>Клемна колодка e.lc.pro.ac.8</t>
  </si>
  <si>
    <t>7.Клемні колодки прохідні (магістральні) MAIN</t>
  </si>
  <si>
    <t>p0820001</t>
  </si>
  <si>
    <t>Клемна колодка прохідна e.tc.main.brass.35, 1х35 мм.кв./4х6 мм.кв., латунний контакт</t>
  </si>
  <si>
    <t>p0820002</t>
  </si>
  <si>
    <t>Клемна колодка прохідна e.tc.main.brass.35k, 1х35 мм.кв./4х6 мм.кв.,латунний контакт, з кришкою</t>
  </si>
  <si>
    <t>p0820003</t>
  </si>
  <si>
    <t>Клемна колодка прохідна e.tc.main.brass.95, 1х95 мм.кв./4х16 мм.кв..,латунний контакт</t>
  </si>
  <si>
    <t>p0820004</t>
  </si>
  <si>
    <t>Клемна колодка прохідна e.tc.main.brass.95k, 1х95 мм.кв./4х16 мм.кв..,латунний контакт, з кришкою</t>
  </si>
  <si>
    <t>p0820005</t>
  </si>
  <si>
    <t>Клемна колодка прохідна e.tc.main.steel.35, 1х35 мм.кв./4х6 мм.кв., сталевий контакт</t>
  </si>
  <si>
    <t>p0820006</t>
  </si>
  <si>
    <t>Клемна колодка прохідна e.tc.main.steel.95, 1х95 мм.кв./4х16 мм.кв..,сталевий  контакт</t>
  </si>
  <si>
    <t>2.Шини нульові BS</t>
  </si>
  <si>
    <t>1.Шини нульові BSA серії STAND кріплення по краях</t>
  </si>
  <si>
    <t>s056001</t>
  </si>
  <si>
    <t>Шина нульова e.bsa.stand.20.6, 6 отв.х 20 А</t>
  </si>
  <si>
    <t>s0560011</t>
  </si>
  <si>
    <t>Шина нульова e.bsa.stand.20.6.base, 6 отв.х 20 А з основою з кріпленням на "лапках"</t>
  </si>
  <si>
    <t>s056002</t>
  </si>
  <si>
    <t>Шина нульова e.bsa.stand.20.12, 12 отв.х 20 А</t>
  </si>
  <si>
    <t>s0560021</t>
  </si>
  <si>
    <t>Шина нульова e.bsa.stand.20.12.base, 12 отв.х 20 А з основою з кріпленням на "лапках"</t>
  </si>
  <si>
    <t>s056004</t>
  </si>
  <si>
    <t>Шина нульова e.bsa.stand.60.12, 12 отв.х 60 А</t>
  </si>
  <si>
    <t>s056003</t>
  </si>
  <si>
    <t>Шина нульова e.bsa.stand.60.6, 6 отв.х 60 А</t>
  </si>
  <si>
    <t>s056005</t>
  </si>
  <si>
    <t>Основа e.bsa.stand.base з кріпленням на "лапках" для шин типу bsa</t>
  </si>
  <si>
    <t>2.Шини нульові BSC серії STAND кріплення по центру</t>
  </si>
  <si>
    <t>s055001</t>
  </si>
  <si>
    <t>Шина нульова e.bsc.stand.20.4, 4 отв.х 20 А</t>
  </si>
  <si>
    <t>s055002</t>
  </si>
  <si>
    <t>Шина нульова e.bsc.stand.20.6, 6 отв.х 20 А</t>
  </si>
  <si>
    <t>s055003</t>
  </si>
  <si>
    <t>Шина нульова e.bsc.stand.20.8, 8 отв.х 20 А</t>
  </si>
  <si>
    <t>s055004</t>
  </si>
  <si>
    <t>Шина нульова e.bsc.stand.20.10, 10 отв.х 20 А</t>
  </si>
  <si>
    <t>s055005</t>
  </si>
  <si>
    <t>Шина нульова e.bsc.stand.20.12, 12 отв.х 20 А</t>
  </si>
  <si>
    <t>s055006</t>
  </si>
  <si>
    <t>Шина нульова e.bsc.stand.20.14, 14 отв.х 20 А</t>
  </si>
  <si>
    <t>s055007</t>
  </si>
  <si>
    <t>Шина нульова e.bsc.stand.20.18, 18 отв.х 20 А</t>
  </si>
  <si>
    <t>s055008</t>
  </si>
  <si>
    <t>Основа e.bsc.stand.base з кріпленням на DIN-рейку для шин типу bsc</t>
  </si>
  <si>
    <t>3.Шини нульові BS серії STAND на основі</t>
  </si>
  <si>
    <t>s025001</t>
  </si>
  <si>
    <t>Шина нульова e.bs.stand.1.7  7 отв.</t>
  </si>
  <si>
    <t>s025004</t>
  </si>
  <si>
    <t>Шина нульова e.bs.stand.1.7.L  7 отв. (6+1отв. збільшений)</t>
  </si>
  <si>
    <t>s025002</t>
  </si>
  <si>
    <t>Шина нульова e.bs.stand.1.12  12 отв.</t>
  </si>
  <si>
    <t>s025003</t>
  </si>
  <si>
    <t>Шина нульова e.bs.stand.1.15  15 отв.</t>
  </si>
  <si>
    <t>4.Шини нульові BSI серії PRO в ізольованому корпусі</t>
  </si>
  <si>
    <t>p0650007</t>
  </si>
  <si>
    <t>Шина нульова e.bsi.pro.1.7 на DIN-рейку в ізольованому корпусі</t>
  </si>
  <si>
    <t>p0650008</t>
  </si>
  <si>
    <t>Шина нульова e.bsi.pro.1.12 на DIN-рейку в ізольованому корпусі</t>
  </si>
  <si>
    <t>p0650009</t>
  </si>
  <si>
    <t>Шина нульова e.bsi.pro.1.15 на DIN-рейку в ізольованому корпусі</t>
  </si>
  <si>
    <t>5.Шини нульові BSI серії PRO в ізольованому корпусі універсальні</t>
  </si>
  <si>
    <t>p0650010</t>
  </si>
  <si>
    <t>Шина нульова e.bsi.pro.2.4 в ізольованому корпусі універсальні</t>
  </si>
  <si>
    <t>p0650011</t>
  </si>
  <si>
    <t>Шина нульова e.bsi.pro.2.6 в ізольованому корпусі універсальна</t>
  </si>
  <si>
    <t>p0650012</t>
  </si>
  <si>
    <t>Шина нульова e.bsi.pro.2.8 в ізольованому корпусі універсальна</t>
  </si>
  <si>
    <t>p0650013</t>
  </si>
  <si>
    <t>Шина нульова e.bsi.pro.2.10 в ізольованому корпусі універсальна</t>
  </si>
  <si>
    <t>p0650014</t>
  </si>
  <si>
    <t>Шина нульова e.bsi.pro.2.12 в ізольованому корпусі універсальна</t>
  </si>
  <si>
    <t>6.Шини нульові CBS серії PRO на DIN-рейку в корпусі</t>
  </si>
  <si>
    <t>p0650001</t>
  </si>
  <si>
    <t>Шина нульова e.cbs.pro.2.7 в корпусі на DIN-рейку</t>
  </si>
  <si>
    <t>p0650002</t>
  </si>
  <si>
    <t>Шина нульова e.cbs.pro.2.11 в корпусі на DIN-рейку</t>
  </si>
  <si>
    <t>p0650003</t>
  </si>
  <si>
    <t>Шина нульова e.cbs.pro.2.15 в корпусі на DIN-рейку</t>
  </si>
  <si>
    <t>p0650004</t>
  </si>
  <si>
    <t>Шина нульова e.cbs.pro.4.7 в корпусі на DIN-рейку</t>
  </si>
  <si>
    <t>p0650005</t>
  </si>
  <si>
    <t>Шина нульова e.cbs.pro.4.11 в корпусі на DIN-рейку</t>
  </si>
  <si>
    <t>p0650006</t>
  </si>
  <si>
    <t>Шина нульова e.cbs.pro.4.15 в корпусі на DIN-рейку</t>
  </si>
  <si>
    <t>3.Трубки термоусаджувальні TERMO серії STAND</t>
  </si>
  <si>
    <t>1. 1/0,5</t>
  </si>
  <si>
    <t>s024102</t>
  </si>
  <si>
    <t>Термоусаджувальна трубка e.termo.stand.1.0,5.black, 1/0,5, 1м, чорна</t>
  </si>
  <si>
    <t>м</t>
  </si>
  <si>
    <t>s024104</t>
  </si>
  <si>
    <t>Термоусаджувальна трубка e.termo.stand.1.0,5.blue, 1/0,5, 1м, синя</t>
  </si>
  <si>
    <t>s024100</t>
  </si>
  <si>
    <t>Термоусаджувальна трубка e.termo.stand.1.0,5.green, 1/0,5, 1м, зелена</t>
  </si>
  <si>
    <t>s024103</t>
  </si>
  <si>
    <t>Термоусаджувальна трубка e.termo.stand.1.0,5.red, 1/0,5, 1м, червона</t>
  </si>
  <si>
    <t>s024190</t>
  </si>
  <si>
    <t>Термоусаджувальна трубка e.termo.stand.1.0,5.transparent, 1/0,5, 1м, прозора</t>
  </si>
  <si>
    <t>s024101</t>
  </si>
  <si>
    <t>Термоусаджувальна трубка e.termo.stand.1.0,5.yellow, 1/0,5, 1м, жовта</t>
  </si>
  <si>
    <t>s024191</t>
  </si>
  <si>
    <t>Термоусаджувальна трубка e.termo.stand.1.0,5.yellow-green, 1/0,5, 1м, жовто-зелена</t>
  </si>
  <si>
    <t>2. 1,5/0,75</t>
  </si>
  <si>
    <t>s024107</t>
  </si>
  <si>
    <t>Термоусаджувальна трубка e.termo.stand.1,5.0,75.black, 1,5/0,75, 1м, чорна</t>
  </si>
  <si>
    <t>s024109</t>
  </si>
  <si>
    <t>Термоусаджувальна трубка e.termo.stand.1,5.0,75.blue, 1,5/0,75, 1м, синя</t>
  </si>
  <si>
    <t>s024105</t>
  </si>
  <si>
    <t>Термоусаджувальна трубка e.termo.stand.1,5.0,75.green, 1,5/0,75, 1м, зелена</t>
  </si>
  <si>
    <t>s024108</t>
  </si>
  <si>
    <t>Термоусаджувальна трубка e.termo.stand.1,5.0,75.red, 1,5/0,75, 1м, червона</t>
  </si>
  <si>
    <t>s024188</t>
  </si>
  <si>
    <t>Термоусаджувальна трубка e.termo.stand.1,5.0,75.transparent, 1,5/0,75, 1м, прозора</t>
  </si>
  <si>
    <t>s024106</t>
  </si>
  <si>
    <t>Термоусаджувальна трубка e.termo.stand.1,5.0,75.yellow, 1,5/0,75, 1м, жовта</t>
  </si>
  <si>
    <t>s024189</t>
  </si>
  <si>
    <t>Термоусаджувальна трубка e.termo.stand.1,5.0,75.yellow-green, 1,5/0,75, 1м, жовто-зелена</t>
  </si>
  <si>
    <t>3. 2/1</t>
  </si>
  <si>
    <t>s024112</t>
  </si>
  <si>
    <t>Термоусаджувальна трубка e.termo.stand.2.1.black, 2/1, 1м, чорна</t>
  </si>
  <si>
    <t>s024114</t>
  </si>
  <si>
    <t>Термоусаджувальна трубка e.termo.stand.2.1.blue, 2/1, 1м, синя</t>
  </si>
  <si>
    <t>s024110</t>
  </si>
  <si>
    <t>Термоусаджувальна трубка e.termo.stand.2.1.green, 2/1, 1м, зелена</t>
  </si>
  <si>
    <t>s024113</t>
  </si>
  <si>
    <t>Термоусаджувальна трубка e.termo.stand.2.1.red, 2/1, 1м, червона</t>
  </si>
  <si>
    <t>s024192</t>
  </si>
  <si>
    <t>Термоусаджувальна трубка e.termo.stand.2.1.transparent, 2/1, 1м, прозора</t>
  </si>
  <si>
    <t>s024212</t>
  </si>
  <si>
    <t>Термоусаджувальна трубка e.termo.stand.2.1.white, 2/1, 1м, біла</t>
  </si>
  <si>
    <t>s024111</t>
  </si>
  <si>
    <t>Термоусаджувальна трубка e.termo.stand.2.1.yellow, 2/1, 1м, жовта</t>
  </si>
  <si>
    <t>s024193</t>
  </si>
  <si>
    <t>Термоусаджувальна трубка e.termo.stand.2.1.yellow-green, 2/1, 1м, жовто-зелена</t>
  </si>
  <si>
    <t>4. 3/1,5</t>
  </si>
  <si>
    <t>s024118</t>
  </si>
  <si>
    <t>Термоусаджувальна трубка e.termo.stand.3.1,5.black, 3/1,5, 1м, чорна</t>
  </si>
  <si>
    <t>s024116</t>
  </si>
  <si>
    <t>Термоусаджувальна трубка e.termo.stand.3.1,5.blue, 3/1,5, 1м, синя</t>
  </si>
  <si>
    <t>s024115</t>
  </si>
  <si>
    <t>Термоусаджувальна трубка e.termo.stand.3.1,5.green, 3/1,5, 1м, зелена</t>
  </si>
  <si>
    <t>s024119</t>
  </si>
  <si>
    <t>Термоусаджувальна трубка e.termo.stand.3.1,5.red, 3/1,5, 1м, червона</t>
  </si>
  <si>
    <t>s024194</t>
  </si>
  <si>
    <t>Термоусаджувальна трубка e.termo.stand.3.1,5.transparent, 3/1,5, 1м, прозора</t>
  </si>
  <si>
    <t>s024117</t>
  </si>
  <si>
    <t>Термоусаджувальна трубка e.termo.stand.3.1,5.yellow, 3/1,5, 1м, жовта</t>
  </si>
  <si>
    <t>s024195</t>
  </si>
  <si>
    <t>Термоусаджувальна трубка e.termo.stand.3.1,5.yellow-green, 3/1,5, 1м, жовто-зелена</t>
  </si>
  <si>
    <t>5. 4/2</t>
  </si>
  <si>
    <t>s024127</t>
  </si>
  <si>
    <t>Термоусаджувальна трубка e.termo.stand.4.2.black, 4/2, 1м, чорна</t>
  </si>
  <si>
    <t>s024129</t>
  </si>
  <si>
    <t>Термоусаджувальна трубка e.termo.stand.4.2.blue, 4/2, 1м, синя</t>
  </si>
  <si>
    <t>s024125</t>
  </si>
  <si>
    <t>Термоусаджувальна трубка e.termo.stand.4.2.green, 4/2, 1м, зелена</t>
  </si>
  <si>
    <t>s024128</t>
  </si>
  <si>
    <t>Термоусаджувальна трубка e.termo.stand.4.2.red, 4/2, 1м, червона</t>
  </si>
  <si>
    <t>s024196</t>
  </si>
  <si>
    <t>Термоусаджувальна трубка e.termo.stand.4.2.transparent, 4/2, 1м, прозора</t>
  </si>
  <si>
    <t>s024126</t>
  </si>
  <si>
    <t>Термоусаджувальна трубка e.termo.stand.4.2.yellow, 4/2, 1м, жовта</t>
  </si>
  <si>
    <t>s024197</t>
  </si>
  <si>
    <t>Термоусаджувальна трубка e.termo.stand.4.2.yellow-green, 4/2, 1м, жовто-зелена</t>
  </si>
  <si>
    <t>6. 6/3</t>
  </si>
  <si>
    <t>s0240015</t>
  </si>
  <si>
    <t>Термоусаджувальна трубка e.termo.stand.6.3.black, 6/3, 1м, чорна</t>
  </si>
  <si>
    <t>s0240013</t>
  </si>
  <si>
    <t>Термоусаджувальна трубка e.termo.stand.6.3.blue, 6/3, 1м, синя</t>
  </si>
  <si>
    <t>s0240011</t>
  </si>
  <si>
    <t>Термоусаджувальна трубка e.termo.stand.6.3.green, 6/3, 1м, зелена</t>
  </si>
  <si>
    <t>s0240014</t>
  </si>
  <si>
    <t>Термоусаджувальна трубка e.termo.stand.6.3.red, 6/3, 1м, червона</t>
  </si>
  <si>
    <t>s024198</t>
  </si>
  <si>
    <t>Термоусаджувальна трубка e.termo.stand.6.3.transparent, 6/3, 1м, прозора</t>
  </si>
  <si>
    <t>s024001</t>
  </si>
  <si>
    <t>Термоусаджувальна трубка e.termo.stand.6.3.white, 6/3, 1м, біла</t>
  </si>
  <si>
    <t>s0240012</t>
  </si>
  <si>
    <t>Термоусаджувальна трубка e.termo.stand.6.3.yellow, 6/3, 1м, жовта</t>
  </si>
  <si>
    <t>s024199</t>
  </si>
  <si>
    <t>Термоусаджувальна трубка e.termo.stand.6.3.yellow-green, 6/3, 1м, жовто-зелена</t>
  </si>
  <si>
    <t>7. 8/4</t>
  </si>
  <si>
    <t>s024020</t>
  </si>
  <si>
    <t>Термоусаджувальна трубка e.termo.stand.8.4.black  8/4,  1м, чорна</t>
  </si>
  <si>
    <t>s024018</t>
  </si>
  <si>
    <t>Термоусаджувальна трубка e.termo.stand.8.4.blue  8/4,  1м, синя</t>
  </si>
  <si>
    <t>s024016</t>
  </si>
  <si>
    <t>Термоусаджувальна трубка e.termo.stand.8.4.green  8/4,  1м, зелена</t>
  </si>
  <si>
    <t>s024019</t>
  </si>
  <si>
    <t>Термоусаджувальна трубка e.termo.stand.8.4.red  8/4,  1м, червона</t>
  </si>
  <si>
    <t>s024200</t>
  </si>
  <si>
    <t>Термоусаджувальна трубка e.termo.stand.8.4.transparent, 8/4, 1м, прозора</t>
  </si>
  <si>
    <t>s024093</t>
  </si>
  <si>
    <t>Термоусаджувальна трубка e.termo.stand.8.4.white  8/4,  1м, біла</t>
  </si>
  <si>
    <t>s024017</t>
  </si>
  <si>
    <t>Термоусаджувальна трубка e.termo.stand.8.4.yellow  8/4,  1м, жовта</t>
  </si>
  <si>
    <t>s024201</t>
  </si>
  <si>
    <t>Термоусаджувальна трубка e.termo.stand.8.4.yellow-green, 8/4, 1м, жовто-зелена</t>
  </si>
  <si>
    <t>8. 12/6</t>
  </si>
  <si>
    <t>s024027</t>
  </si>
  <si>
    <t>Термоусаджувальна трубка e.termo.stand.12.6.black  12/6,  1м, чорна</t>
  </si>
  <si>
    <t>s024028</t>
  </si>
  <si>
    <t>Термоусаджувальна трубка e.termo.stand.12.6.blue  12/6,  1м, синя</t>
  </si>
  <si>
    <t>s024026</t>
  </si>
  <si>
    <t>Термоусаджувальна трубка e.termo.stand.12.6.green  12/6,  1м, зелена</t>
  </si>
  <si>
    <t>s024029</t>
  </si>
  <si>
    <t>Термоусаджувальна трубка e.termo.stand.12.6.red  12/6,  1м, червона</t>
  </si>
  <si>
    <t>s024202</t>
  </si>
  <si>
    <t>Термоусаджувальна трубка e.termo.stand.12.6.transparent, 12/6, 1м, прозора</t>
  </si>
  <si>
    <t>s024094</t>
  </si>
  <si>
    <t>Термоусаджувальна трубка e.termo.stand.12.6.white  12/6,  1м, біла</t>
  </si>
  <si>
    <t>s024030</t>
  </si>
  <si>
    <t>Термоусаджувальна трубка e.termo.stand.12.6.yellow  12/6,  1м, жовта</t>
  </si>
  <si>
    <t>s024203</t>
  </si>
  <si>
    <t>Термоусаджувальна трубка e.termo.stand.12.6.yellow-green, 12/6, 1м, жовто-зелена</t>
  </si>
  <si>
    <t>9. 16/8</t>
  </si>
  <si>
    <t>s024070</t>
  </si>
  <si>
    <t>Термоусаджувальна трубка e.termo.stand.16.8.black  16/8,  1м, чорна</t>
  </si>
  <si>
    <t>s024068</t>
  </si>
  <si>
    <t>Термоусаджувальна трубка e.termo.stand.16.8.blue 16/8,  1м, синя</t>
  </si>
  <si>
    <t>s024066</t>
  </si>
  <si>
    <t>Термоусаджувальна трубка e.termo.stand.16.8.green  16/8,  1м, зелена</t>
  </si>
  <si>
    <t>s024069</t>
  </si>
  <si>
    <t>Термоусаджувальна трубка e.termo.stand.16.8.red  16/8,  1м, червона</t>
  </si>
  <si>
    <t>s024204</t>
  </si>
  <si>
    <t>Термоусаджувальна трубка e.termo.stand.16.8.transparent, 16/8, 1м, прозора</t>
  </si>
  <si>
    <t>s024067</t>
  </si>
  <si>
    <t>Термоусаджувальна трубка e.termo.stand.16.8.yellow  16/8,  1м, жовта</t>
  </si>
  <si>
    <t>s024205</t>
  </si>
  <si>
    <t>Термоусаджувальна трубка e.termo.stand.16.8.yellow-green, 16/8, 1м, жовто-зелена</t>
  </si>
  <si>
    <t>10. 20/10</t>
  </si>
  <si>
    <t>s024034</t>
  </si>
  <si>
    <t>Термоусаджувальна трубка e.termo.stand.20.10.black  20/10,  1м, чорна</t>
  </si>
  <si>
    <t>s024033</t>
  </si>
  <si>
    <t>Термоусаджувальна трубка e.termo.stand.20.10.blue  20/10,  1м, синя</t>
  </si>
  <si>
    <t>s024031</t>
  </si>
  <si>
    <t>Термоусаджувальна трубка e.termo.stand.20.10.green  20/10,  1м, зелена</t>
  </si>
  <si>
    <t>s024032</t>
  </si>
  <si>
    <t>Термоусаджувальна трубка e.termo.stand.20.10.red  20/10,  1м, червона</t>
  </si>
  <si>
    <t>s024206</t>
  </si>
  <si>
    <t>Термоусаджувальна трубка e.termo.stand.20.10.transparent, 1м, прозора</t>
  </si>
  <si>
    <t>s024095</t>
  </si>
  <si>
    <t>Термоусаджувальна трубка e.termo.stand.20.10.white  20/10,  1м, біла</t>
  </si>
  <si>
    <t>s024035</t>
  </si>
  <si>
    <t>Термоусаджувальна трубка e.termo.stand.20.10.yellow  20/10,  1м, жовта</t>
  </si>
  <si>
    <t>s024207</t>
  </si>
  <si>
    <t>Термоусаджувальна трубка e.termo.stand.20.10.yellow-green, 1м, жовто-зелена</t>
  </si>
  <si>
    <t>11. 25/12,5</t>
  </si>
  <si>
    <t>s024039</t>
  </si>
  <si>
    <t>Термоусаджувальна трубка e.termo.stand.25.12,5.black  25/12,5,  1м, чорна</t>
  </si>
  <si>
    <t>s024037</t>
  </si>
  <si>
    <t>Термоусаджувальна трубка e.termo.stand.25.12,5.blue  25/12,5,  1м, синя</t>
  </si>
  <si>
    <t>s024040</t>
  </si>
  <si>
    <t>Термоусаджувальна трубка e.termo.stand.25.12,5.green  25/12,5,  1м, зелена</t>
  </si>
  <si>
    <t>s024036</t>
  </si>
  <si>
    <t>Термоусаджувальна трубка e.termo.stand.25.12,5.red  25/12,5,  1м, червона</t>
  </si>
  <si>
    <t>s024208</t>
  </si>
  <si>
    <t>Термоусаджувальна трубка e.termo.stand.25.12,5.transparent, 25/12,5, 1м, прозора</t>
  </si>
  <si>
    <t>s024096</t>
  </si>
  <si>
    <t>Термоусаджувальна трубка e.termo.stand.25.12,5.white  25/12,5,  1м, біла</t>
  </si>
  <si>
    <t>s024038</t>
  </si>
  <si>
    <t>Термоусаджувальна трубка e.termo.stand.25.12,5.yellow  25/12,5,  1м, жовта</t>
  </si>
  <si>
    <t>s024209</t>
  </si>
  <si>
    <t>Термоусаджувальна трубка e.termo.stand.25.12,5.yellow-green, 25/12,5, 1м, жовто-зелена</t>
  </si>
  <si>
    <t>12. 30/15</t>
  </si>
  <si>
    <t>s024152</t>
  </si>
  <si>
    <t>Термоусаджувальна трубка e.termo.stand.30.15.black, 30/15, 1м, чорна</t>
  </si>
  <si>
    <t>s024154</t>
  </si>
  <si>
    <t>Термоусаджувальна трубка e.termo.stand.30.15.blue, 30/15, 1м, синя</t>
  </si>
  <si>
    <t>s024150</t>
  </si>
  <si>
    <t>Термоусаджувальна трубка e.termo.stand.30.15.green, 30/15, 1м, зелена</t>
  </si>
  <si>
    <t>s024153</t>
  </si>
  <si>
    <t>Термоусаджувальна трубка e.termo.stand.30.15.red, 30/15, 1м, червона</t>
  </si>
  <si>
    <t>s024210</t>
  </si>
  <si>
    <t>Термоусаджувальна трубка e.termo.stand.30.15.transparent, 30/15, 1м, прозора</t>
  </si>
  <si>
    <t>s024151</t>
  </si>
  <si>
    <t>Термоусаджувальна трубка e.termo.stand.30.15.yellow, 30/15, 1м, жовта</t>
  </si>
  <si>
    <t>s024211</t>
  </si>
  <si>
    <t>Термоусаджувальна трубка e.termo.stand.30.15.yellow-green, 30/15, 1м, жовто-зелена</t>
  </si>
  <si>
    <t>14. 40/20</t>
  </si>
  <si>
    <t>s024045</t>
  </si>
  <si>
    <t>Термоусаджувальна трубка e.termo.stand.40.20.black  40/20,  1м, чорна</t>
  </si>
  <si>
    <t>s024042</t>
  </si>
  <si>
    <t>Термоусаджувальна трубка e.termo.stand.40.20.blue  40/20,  1м, синя</t>
  </si>
  <si>
    <t>s024043</t>
  </si>
  <si>
    <t>Термоусаджувальна трубка e.termo.stand.40.20.green  40/20,  1м, зелена</t>
  </si>
  <si>
    <t>s024041</t>
  </si>
  <si>
    <t>Термоусаджувальна трубка e.termo.stand.40.20.red  40/20,  1м, червона</t>
  </si>
  <si>
    <t>s024097</t>
  </si>
  <si>
    <t>Термоусаджувальна трубка e.termo.stand.40.20.white  40/20,  1м, біла</t>
  </si>
  <si>
    <t>s024044</t>
  </si>
  <si>
    <t>Термоусаджувальна трубка e.termo.stand.40.20.yellow  40/20,  1м, жовта</t>
  </si>
  <si>
    <t>15. 50/25</t>
  </si>
  <si>
    <t>s024050</t>
  </si>
  <si>
    <t>Термоусаджувальна трубка e.termo.stand.50.25.black  50/25,  1м, чорна</t>
  </si>
  <si>
    <t>s024048</t>
  </si>
  <si>
    <t>Термоусаджувальна трубка e.termo.stand.50.25.blue  50/25,  1м, синя</t>
  </si>
  <si>
    <t>s024046</t>
  </si>
  <si>
    <t>Термоусаджувальна трубка e.termo.stand.50.25.green  50/25,  1м, зелена</t>
  </si>
  <si>
    <t>s024049</t>
  </si>
  <si>
    <t>Термоусаджувальна трубка e.termo.stand.50.25.red  50/25,  1м, червона</t>
  </si>
  <si>
    <t>s024098</t>
  </si>
  <si>
    <t>Термоусаджувальна трубка e.termo.stand.50.25.white  50/25,  1м, біла</t>
  </si>
  <si>
    <t>s024047</t>
  </si>
  <si>
    <t>Термоусаджувальна трубка e.termo.stand.50.25.yellow  50/25,  1м, жовта</t>
  </si>
  <si>
    <t>16. 60/30</t>
  </si>
  <si>
    <t>s024099</t>
  </si>
  <si>
    <t>Термоусаджувальна трубка e.termo.stand.60.30.black  60/30,  1м, чорна</t>
  </si>
  <si>
    <t>s024158</t>
  </si>
  <si>
    <t>Термоусаджувальна трубка e.termo.stand.60.30.blue, 60/30,  1м, синя</t>
  </si>
  <si>
    <t>s024155</t>
  </si>
  <si>
    <t>Термоусаджувальна трубка e.termo.stand.60.30.green  60/30,  1м, зелена</t>
  </si>
  <si>
    <t>s024157</t>
  </si>
  <si>
    <t>Термоусаджувальна трубка e.termo.stand.60.30.red, 60/30,  1м, червона</t>
  </si>
  <si>
    <t>s024156</t>
  </si>
  <si>
    <t>Термоусаджувальна трубка e.termo.stand.60.30.yellow, 60/30,  1м, жовта</t>
  </si>
  <si>
    <t>17. 80/40</t>
  </si>
  <si>
    <t>s024164</t>
  </si>
  <si>
    <t>Термоусаджувальна трубка e.termo.stand.80.40.black, 80/40,  1м, чорна</t>
  </si>
  <si>
    <t>s024166</t>
  </si>
  <si>
    <t>Термоусаджувальна трубка e.termo.stand.80.40.blue, 80/40,  1м, синя</t>
  </si>
  <si>
    <t>s024162</t>
  </si>
  <si>
    <t>Термоусаджувальна трубка e.termo.stand.80.40.green, 80/40,  1м, зелена</t>
  </si>
  <si>
    <t>s024165</t>
  </si>
  <si>
    <t>Термоусаджувальна трубка e.termo.stand.80.40.red, 80/40,  1м, червона</t>
  </si>
  <si>
    <t>s024163</t>
  </si>
  <si>
    <t>Термоусаджувальна трубка e.termo.stand.80.40.yellow, 80/40,  1м, жовта</t>
  </si>
  <si>
    <t>18. 100/50</t>
  </si>
  <si>
    <t>s024174</t>
  </si>
  <si>
    <t>Термоусаджувальна трубка e.termo.stand.100.50.black,  100/50,  1м, чорна</t>
  </si>
  <si>
    <t>s024176</t>
  </si>
  <si>
    <t>Термоусаджувальна трубка e.termo.stand.100.50.blue,  100/50,  1м, синя</t>
  </si>
  <si>
    <t>s024172</t>
  </si>
  <si>
    <t>Термоусаджувальна трубка e.termo.stand.100.50.green,  100/50,  1м, зелена</t>
  </si>
  <si>
    <t>s024175</t>
  </si>
  <si>
    <t>Термоусаджувальна трубка e.termo.stand.100.50.red,  100/50,  1м, червона</t>
  </si>
  <si>
    <t>s024173</t>
  </si>
  <si>
    <t>Термоусаджувальна трубка e.termo.stand.100.50.yellow,  100/50,  1м, жовта</t>
  </si>
  <si>
    <t>19. 120/60</t>
  </si>
  <si>
    <t>s024179</t>
  </si>
  <si>
    <t>Термоусаджувальна трубка e.termo.stand.120.60.black,  120/60,  1м, чорна</t>
  </si>
  <si>
    <t>s024181</t>
  </si>
  <si>
    <t>Термоусаджувальна трубка e.termo.stand.120.60.blue,  120/60,  1м, синя</t>
  </si>
  <si>
    <t>s024180</t>
  </si>
  <si>
    <t>Термоусаджувальна трубка e.termo.stand.120.60.red,  120/60,  1м, червона</t>
  </si>
  <si>
    <t>s024178</t>
  </si>
  <si>
    <t>Термоусаджувальна трубка e.termo.stand.120.60.yellow,  120/60,  1м, жовта</t>
  </si>
  <si>
    <t>20. 150/75</t>
  </si>
  <si>
    <t>s024184</t>
  </si>
  <si>
    <t>Термоусаджувальна трубка e.termo.stand.150.75.black,  150/75,  1м, чорна</t>
  </si>
  <si>
    <t>s024186</t>
  </si>
  <si>
    <t>Термоусаджувальна трубка e.termo.stand.150.75.blue,  150/75,  1м, синя</t>
  </si>
  <si>
    <t>s024182</t>
  </si>
  <si>
    <t>Термоусаджувальна трубка e.termo.stand.150.75.green,  150/75,  1м, зелена</t>
  </si>
  <si>
    <t>s024185</t>
  </si>
  <si>
    <t>Термоусаджувальна трубка e.termo.stand.150.75.red,  150/75,  1м, червона</t>
  </si>
  <si>
    <t>s024183</t>
  </si>
  <si>
    <t>Термоусаджувальна трубка e.termo.stand.150.75.yellow,  150/75,  1м, жовта</t>
  </si>
  <si>
    <t>Набори трубок термоусаджувальних SET</t>
  </si>
  <si>
    <t>s063001</t>
  </si>
  <si>
    <t>Набір трубок термоусаджувальних e.termo.stand.set.2.1, ( 8 кольорів), 100 мм, 24 шт.</t>
  </si>
  <si>
    <t>s063002</t>
  </si>
  <si>
    <t>Набір трубок термоусаджувальних e.termo.stand.set.4.2, ( 8 кольорів), 100 мм, 24 шт.</t>
  </si>
  <si>
    <t>s063003</t>
  </si>
  <si>
    <t>Набір трубок термоусаджувальних e.termo.stand.set.6.3, ( 8 кольорів), 100 мм, 24 шт.</t>
  </si>
  <si>
    <t>s063004</t>
  </si>
  <si>
    <t>Набір трубок термоусаджувальних e.termo.stand.set.8.4, ( 8 кольорів), 100 мм, 24 шт.</t>
  </si>
  <si>
    <t>s063005</t>
  </si>
  <si>
    <t>Набір трубок термоусаджувальних e.termo.stand.set.10.5, ( 8 кольорів), 100 мм, 24 шт.</t>
  </si>
  <si>
    <t>s063006</t>
  </si>
  <si>
    <t>Набір трубок термоусаджувальних e.termo.stand.set.12.6, ( 8 кольорів), 100 мм, 24 шт.</t>
  </si>
  <si>
    <t>s063007</t>
  </si>
  <si>
    <t>Набір трубок термоусаджувальних e.termo.stand.set.14.7, (8 кольорів), 100 мм, 24 шт.</t>
  </si>
  <si>
    <t>s063008</t>
  </si>
  <si>
    <t>Набір трубок термоусаджувальних e.termo.stand.set.16.8, ( 8 кольорів), 100 мм, 24 шт.</t>
  </si>
  <si>
    <t>s063009</t>
  </si>
  <si>
    <t>Набір трубок термоусаджувальних e.termo.stand.set.20.10, ( 8 кольорів), 100 мм, 24 шт.</t>
  </si>
  <si>
    <t>s063010</t>
  </si>
  <si>
    <t>Набір трубок термоусаджувальних e.termo.stand.set. 4.6.8.10, 8 кольорів, 4/2, 6/3, 8/4, 10/5, 100 мм, 32 шт.</t>
  </si>
  <si>
    <t>Трубки термоусаджувальні в рулонах ROLL</t>
  </si>
  <si>
    <t>s059027</t>
  </si>
  <si>
    <t>Трубка термоусаджувальна e.termo.stand.roll.12.6.black, 12/6, 100м, чорна</t>
  </si>
  <si>
    <t>рул.</t>
  </si>
  <si>
    <t>s059028</t>
  </si>
  <si>
    <t>Трубка термоусаджувальна e.termo.stand.roll.12.6.blue, 12/6, 100м, синя</t>
  </si>
  <si>
    <t>s059029</t>
  </si>
  <si>
    <t>Трубка термоусаджувальна e.termo.stand.roll.12.6.green, 12/6, 100м, зелена</t>
  </si>
  <si>
    <t>s059030</t>
  </si>
  <si>
    <t>Трубка термоусаджувальна e.termo.stand.roll.12.6.red, 12/6, 100м, червона</t>
  </si>
  <si>
    <t>s059031</t>
  </si>
  <si>
    <t>Трубка термоусаджувальна e.termo.stand.roll.12.6.white, 12/6, 100м, біла</t>
  </si>
  <si>
    <t>s059032</t>
  </si>
  <si>
    <t>Трубка термоусаджувальна e.termo.stand.roll.12.6.yellow, 12/6, 100м, жовта</t>
  </si>
  <si>
    <t>s0590033</t>
  </si>
  <si>
    <t>Трубка термоусаджувальна e.termo.stand.roll.2.1.black, 2/1, 200м, чорна</t>
  </si>
  <si>
    <t>s059001</t>
  </si>
  <si>
    <t>Трубка термоусаджувальна e.termo.stand.roll.2.1.blue, 2/1, 200м, синя</t>
  </si>
  <si>
    <t>s059002</t>
  </si>
  <si>
    <t>Трубка термоусаджувальна e.termo.stand.roll.2.1.green, 2/1, 200м, зелена</t>
  </si>
  <si>
    <t>s059003</t>
  </si>
  <si>
    <t>Трубка термоусаджувальна e.termo.stand.roll.2.1.red, 2/1, 200м, червона</t>
  </si>
  <si>
    <t>s059004</t>
  </si>
  <si>
    <t>Трубка термоусаджувальна e.termo.stand.roll.2.1.yellow, 2/1, 200м, жовта</t>
  </si>
  <si>
    <t>s059005</t>
  </si>
  <si>
    <t>Трубка термоусаджувальна e.termo.stand.roll.3.1,5.black, 3/1,5, 200м, чорна</t>
  </si>
  <si>
    <t>s059006</t>
  </si>
  <si>
    <t>Трубка термоусаджувальна e.termo.stand.roll.3.1,5.blue, 3/1,5, 200м, синя</t>
  </si>
  <si>
    <t>s059007</t>
  </si>
  <si>
    <t>Трубка термоусаджувальна e.termo.stand.roll.3.1,5.green, 3/1,5, 200м, зелена</t>
  </si>
  <si>
    <t>s059008</t>
  </si>
  <si>
    <t>Трубка термоусаджувальна e.termo.stand.roll.3.1,5.red, 3/1,5, 200м, червона</t>
  </si>
  <si>
    <t>s059009</t>
  </si>
  <si>
    <t>Трубка термоусаджувальна e.termo.stand.roll.3.1,5.yellow, 3/1,5, 200м, жовта</t>
  </si>
  <si>
    <t>s059010</t>
  </si>
  <si>
    <t>Трубка термоусаджувальна e.termo.stand.roll.4.2.black, 4/2, 200м, чорна</t>
  </si>
  <si>
    <t>s059011</t>
  </si>
  <si>
    <t>Трубка термоусаджувальна e.termo.stand.roll.4.2.blue, 4/2, 200м, синя</t>
  </si>
  <si>
    <t>s059012</t>
  </si>
  <si>
    <t>Трубка термоусаджувальна e.termo.stand.roll.4.2.green, 4/2, 200м, зелена</t>
  </si>
  <si>
    <t>s059013</t>
  </si>
  <si>
    <t>Трубка термоусаджувальна e.termo.stand.roll.4.2.red, 4/2, 200м, червона</t>
  </si>
  <si>
    <t>s059014</t>
  </si>
  <si>
    <t>Трубка термоусаджувальна e.termo.stand.roll.4.2.yellow, 4/2, 200м, жовта</t>
  </si>
  <si>
    <t>s059015</t>
  </si>
  <si>
    <t>Трубка термоусаджувальна e.termo.stand.roll.6.3.black, 6/3, 100м, чорна</t>
  </si>
  <si>
    <t>s059016</t>
  </si>
  <si>
    <t>Трубка термоусаджувальна e.termo.stand.roll.6.3.blue, 6/3, 100м, синя</t>
  </si>
  <si>
    <t>s059017</t>
  </si>
  <si>
    <t>Трубка термоусаджувальна e.termo.stand.roll.6.3.green, 6/3, 100м, зелена</t>
  </si>
  <si>
    <t>s059018</t>
  </si>
  <si>
    <t>Трубка термоусаджувальна e.termo.stand.roll.6.3.red, 6/3, 100м, червона</t>
  </si>
  <si>
    <t>s059019</t>
  </si>
  <si>
    <t>Трубка термоусаджувальна e.termo.stand.roll.6.3.white, 6/3, 100м, біла</t>
  </si>
  <si>
    <t>s059020</t>
  </si>
  <si>
    <t>Трубка термоусаджувальна e.termo.stand.roll.6.3.yellow, 6/3, 100м, жовта</t>
  </si>
  <si>
    <t>s059021</t>
  </si>
  <si>
    <t>Трубка термоусаджувальна e.termo.stand.roll.8.4.black, 8/4, 100м, чорна</t>
  </si>
  <si>
    <t>s059022</t>
  </si>
  <si>
    <t>Трубка термоусаджувальна e.termo.stand.roll.8.4.blue, 8/4, 100м, синя</t>
  </si>
  <si>
    <t>s059023</t>
  </si>
  <si>
    <t>Трубка термоусаджувальна e.termo.stand.roll.8.4.green, 8/4, 100м, зелена</t>
  </si>
  <si>
    <t>s059024</t>
  </si>
  <si>
    <t>Трубка термоусаджувальна e.termo.stand.roll.8.4.red, 8/4, 100м, червона</t>
  </si>
  <si>
    <t>s059025</t>
  </si>
  <si>
    <t>Трубка термоусаджувальна e.termo.stand.roll.8.4.white, 8/4, 100м, біла</t>
  </si>
  <si>
    <t>s059026</t>
  </si>
  <si>
    <t>Трубка термоусаджувальна e.termo.stand.roll.8.4.yellow, 8/4, 100м, жовта</t>
  </si>
  <si>
    <t>4.DIN-рейка RAIL серії STAND</t>
  </si>
  <si>
    <t>s023001</t>
  </si>
  <si>
    <t>DIN-рейка e.din.stand.rail.101, 1м</t>
  </si>
  <si>
    <t>s023006</t>
  </si>
  <si>
    <t>DIN-рейка e.din.stand.rail.101, 25 см</t>
  </si>
  <si>
    <t>s023002</t>
  </si>
  <si>
    <t>DIN-рейка e.din.stand.rail.102, 1м</t>
  </si>
  <si>
    <t>s023004</t>
  </si>
  <si>
    <t>DIN-рейка e.din.stand.rail.301, G-подібна, перфорована, 1м, глибина 15мм, товщина 1,5мм</t>
  </si>
  <si>
    <t>s023005</t>
  </si>
  <si>
    <t>DIN-рейка e.din.stand.rail.302, G-подібна, неперфорована, 1м, глибина 15мм, товщина 1,5мм</t>
  </si>
  <si>
    <t>s023301</t>
  </si>
  <si>
    <t>Інструмент для різання DIN-рейки e.tool.cutter.din</t>
  </si>
  <si>
    <t>5.Вводи кабельні PG, MG</t>
  </si>
  <si>
    <t>1.Вводи кабельні герметичні PG серії STAND</t>
  </si>
  <si>
    <t>s018001</t>
  </si>
  <si>
    <t>Кабельний ввід e.pg.stand.7</t>
  </si>
  <si>
    <t>s018002</t>
  </si>
  <si>
    <t>Кабельний ввід e.pg.stand.9</t>
  </si>
  <si>
    <t>s018003</t>
  </si>
  <si>
    <t>Кабельний ввід e.pg.stand.11</t>
  </si>
  <si>
    <t>s018004</t>
  </si>
  <si>
    <t>Кабельний ввід e.pg.stand.13.5</t>
  </si>
  <si>
    <t>s018005</t>
  </si>
  <si>
    <t>Кабельний ввід e.pg.stand.16</t>
  </si>
  <si>
    <t>s018006</t>
  </si>
  <si>
    <t>Кабельний ввід e.pg.stand.21</t>
  </si>
  <si>
    <t>s018007</t>
  </si>
  <si>
    <t>Кабельний ввід e.pg.stand.29</t>
  </si>
  <si>
    <t>s018008</t>
  </si>
  <si>
    <t>Кабельний ввід e.pg.stand.36</t>
  </si>
  <si>
    <t>s018009</t>
  </si>
  <si>
    <t>Кабельний ввід e.pg.stand.42</t>
  </si>
  <si>
    <t>s018010</t>
  </si>
  <si>
    <t>Кабельний ввід e.pg.stand.48</t>
  </si>
  <si>
    <t>2.Вводи кабельні герметичні MG серії STAND</t>
  </si>
  <si>
    <t>s067001</t>
  </si>
  <si>
    <t>Кабельний ввід e.mg.stand.12 + ущільнювач</t>
  </si>
  <si>
    <t>s067002</t>
  </si>
  <si>
    <t>Кабельний ввід e.mg.stand.16</t>
  </si>
  <si>
    <t>s067003</t>
  </si>
  <si>
    <t>Кабельний ввід e.mg.stand.20</t>
  </si>
  <si>
    <t>s067006</t>
  </si>
  <si>
    <t>Кабельний ввід e.mg.stand.40</t>
  </si>
  <si>
    <t>s067007</t>
  </si>
  <si>
    <t>Кабельний ввід e.mg.stand.50 + ущільнювач</t>
  </si>
  <si>
    <t>s067008</t>
  </si>
  <si>
    <t>Кабельний ввід e.mg.stand.63 + ущільнювач</t>
  </si>
  <si>
    <t>3.Вводи кабельні герметичні MG серії STAND IP68</t>
  </si>
  <si>
    <t>s067011</t>
  </si>
  <si>
    <t>Кабельний ввід e.mg.stand.12, IP68, чорний</t>
  </si>
  <si>
    <t>s067012</t>
  </si>
  <si>
    <t>Кабельний ввід e.mg.stand.16, IP68, чорний</t>
  </si>
  <si>
    <t>s067013</t>
  </si>
  <si>
    <t>Кабельний ввід e.mg.stand.20, IP68, чорний</t>
  </si>
  <si>
    <t>s067014</t>
  </si>
  <si>
    <t>Кабельний ввід e.mg.stand.25, IP68, чорний</t>
  </si>
  <si>
    <t>s067015</t>
  </si>
  <si>
    <t>Кабельний ввід e.mg.stand.32, IP68, чорний</t>
  </si>
  <si>
    <t>s067016</t>
  </si>
  <si>
    <t>Кабельний ввід e.mg.stand.40, IP68, чорний</t>
  </si>
  <si>
    <t>s067017</t>
  </si>
  <si>
    <t>Кабельний ввід e.mg.stand.50, IP68, чорний</t>
  </si>
  <si>
    <t>s067018</t>
  </si>
  <si>
    <t>Кабельний ввід e.mg.stand.63, IP68, чорний</t>
  </si>
  <si>
    <t>4.Вводи кабельні герметичні довгі PGL серії STAND</t>
  </si>
  <si>
    <t>s048002</t>
  </si>
  <si>
    <t>Кабельний ввід e.pgl.stand.7, з подовженою різьбою і ущільнювачем</t>
  </si>
  <si>
    <t>s048003</t>
  </si>
  <si>
    <t>Кабельний ввід e.pgl.stand.9, з подовженою різьбою і ущільнювачем</t>
  </si>
  <si>
    <t>s048001</t>
  </si>
  <si>
    <t>Кабельний ввід e.pgl.stand.11, з подовженою різьбою і ущільнювачем</t>
  </si>
  <si>
    <t>s048004</t>
  </si>
  <si>
    <t>Кабельний ввід e.pgl.stand.13,5, з подовженою різьбою і ущільнювачем</t>
  </si>
  <si>
    <t>s048005</t>
  </si>
  <si>
    <t>Кабельний ввід e.pgl.stand.16, з подовженою різьбою і ущільнювачем</t>
  </si>
  <si>
    <t>s048006</t>
  </si>
  <si>
    <t>Кабельний ввід e.pgl.stand.21, з подовженою різьбою і ущільнювачем</t>
  </si>
  <si>
    <t>s048007</t>
  </si>
  <si>
    <t>Кабельний ввід e.pgl.stand.29, з подовженою різьбою і ущільнювачем</t>
  </si>
  <si>
    <t>s048008</t>
  </si>
  <si>
    <t>Кабельний ввід e.pgl.stand.36, з подовженою різьбою і ущільнювачем</t>
  </si>
  <si>
    <t>s048009</t>
  </si>
  <si>
    <t>Кабельний ввід e.pgl.stand.42, з подовженою різьбою, без ущільнювача</t>
  </si>
  <si>
    <t>s048010</t>
  </si>
  <si>
    <t>Кабельний ввід e.pgl.stand.48, з подовженою різьбою і ущільнювачем</t>
  </si>
  <si>
    <t>5.Вводи кабельні з опліткою PROTECT серії STAND</t>
  </si>
  <si>
    <t>s051001</t>
  </si>
  <si>
    <t>Кабельний ввід e.pg.protect.stand.7 з опліткою</t>
  </si>
  <si>
    <t>s051002</t>
  </si>
  <si>
    <t>Кабельний ввід e.pg.protect.stand.9 з опліткою</t>
  </si>
  <si>
    <t>s051003</t>
  </si>
  <si>
    <t>Кабельний ввід e.pg.protect.stand.11 з опліткою</t>
  </si>
  <si>
    <t>s051004</t>
  </si>
  <si>
    <t>Кабельний ввід e.pg.protect.stand.13,5 з опліткою</t>
  </si>
  <si>
    <t>s051005</t>
  </si>
  <si>
    <t>Кабельний ввід e.pg.protect.stand.16 з опліткою</t>
  </si>
  <si>
    <t>s051006</t>
  </si>
  <si>
    <t>Кабельний ввід e.pg.protect.stand.21 з опліткою</t>
  </si>
  <si>
    <t>6.Вводи кабельні латунні герметичні MET серії STAND</t>
  </si>
  <si>
    <t>s051007</t>
  </si>
  <si>
    <t>Кабельний ввід латунний e.met.pg.stand.7</t>
  </si>
  <si>
    <t>s051008</t>
  </si>
  <si>
    <t>Кабельний ввід латунний e.met.pg.stand.9</t>
  </si>
  <si>
    <t>s051009</t>
  </si>
  <si>
    <t>Кабельний ввід латунний e.met.pg.stand.11</t>
  </si>
  <si>
    <t>s051010</t>
  </si>
  <si>
    <t>Кабельний ввід латунний e.met.pg.stand.13.5</t>
  </si>
  <si>
    <t>s051011</t>
  </si>
  <si>
    <t>Кабельний ввід латунний e.met.pg.stand.16</t>
  </si>
  <si>
    <t>s051012</t>
  </si>
  <si>
    <t>Кабельний ввід латунний e.met.pg.stand.21</t>
  </si>
  <si>
    <t>s051013</t>
  </si>
  <si>
    <t>Кабельний ввід латунний e.met.pg.stand.29</t>
  </si>
  <si>
    <t>s051014</t>
  </si>
  <si>
    <t>Кабельний ввід латунний e.met.pg.stand.36</t>
  </si>
  <si>
    <t>s051015</t>
  </si>
  <si>
    <t>Кабельний ввід латунний e.met.pg.stand.42</t>
  </si>
  <si>
    <t>s051016</t>
  </si>
  <si>
    <t>Кабельний ввід латунний e.met.pg.stand.48</t>
  </si>
  <si>
    <t>7.Вводи-сальники RRG серії STAND</t>
  </si>
  <si>
    <t>s052001</t>
  </si>
  <si>
    <t>Ввід-сальник e.rrg.stand.20, 20мм</t>
  </si>
  <si>
    <t>s052004</t>
  </si>
  <si>
    <t>Ввід-сальник e.rrg.stand.25, 25мм</t>
  </si>
  <si>
    <t>s052005</t>
  </si>
  <si>
    <t>Ввід-сальник e.rrg.stand.29, 29мм</t>
  </si>
  <si>
    <t>s052002</t>
  </si>
  <si>
    <t>Ввід-сальник e.rrg.stand.32, 32мм</t>
  </si>
  <si>
    <t>s052006</t>
  </si>
  <si>
    <t>Ввід-сальник e.rrg.stand.36, 36 мм</t>
  </si>
  <si>
    <t>s052003</t>
  </si>
  <si>
    <t>Ввід-сальник e.rrg.stand.40, 40мм</t>
  </si>
  <si>
    <t>9.Вводи кабельні серії TAREL</t>
  </si>
  <si>
    <t>1111-011</t>
  </si>
  <si>
    <t>Ввід кабельний PG-11 для коробок TAREL</t>
  </si>
  <si>
    <t>1111-013</t>
  </si>
  <si>
    <t>Ввід кабельний PG-13.5 для коробок TAREL</t>
  </si>
  <si>
    <t>6.Блоки розподільчі на DIN-рейку SN серії PRO</t>
  </si>
  <si>
    <t>p0680001</t>
  </si>
  <si>
    <t>Блок розподільчий e.sn.pro. 80 на DIN-рейку, 80А (вхід 1*6,,,16 кв.мм/вихід 4*2,5...6, 2*2,5...16 кв.мм)</t>
  </si>
  <si>
    <t>p0680002</t>
  </si>
  <si>
    <t>Блок розподільчий e.sn.pro.125 на DIN-рейку, 125А (вхід 1*10,,,35, 1*6...16 кв.мм/вихід 6*2,5...16 кв.мм)</t>
  </si>
  <si>
    <t>p0680003</t>
  </si>
  <si>
    <t>Блок розподільчий e.sn.pro.160 на DIN-рейку, 160А (вхід 1*10,,,70, 1*6...16 кв.мм/вихід 6*2,5...16 кв.мм)</t>
  </si>
  <si>
    <t>p0680004</t>
  </si>
  <si>
    <t>Блок розподільчий e.sn.pro. 250 на DIN-рейку, 250А (вхід 1*35,,,120  кв.мм/вихід 2*6...35, 5*2,5...16, 4*2,5...10 кв.мм)</t>
  </si>
  <si>
    <t>p0680005</t>
  </si>
  <si>
    <t>Блок розподільчий e.sn.pro. 400 на DIN-рейку, 400А (вхід 1*95,,,185  кв.мм/вихід 2*6...35, 5*2,5...16, 4*2,5...10 кв.мм)</t>
  </si>
  <si>
    <t>p0680006</t>
  </si>
  <si>
    <t>Блок розподільчий e.sn.pro.500 на DIN-рейку, 500А (вхід 1*3x15…24 мм шинний/вихід 2*6…35, 5*2,5...16, 4*2,5...10 кв.мм)</t>
  </si>
  <si>
    <t>7.Ізолятори SM серії STAND</t>
  </si>
  <si>
    <t>1.Ізолятори пластикові SM серії STAND</t>
  </si>
  <si>
    <t>s054001</t>
  </si>
  <si>
    <t>Ізолятор пластиковий e.bus.sm.stand.25</t>
  </si>
  <si>
    <t>s054002</t>
  </si>
  <si>
    <t>Ізолятор пластиковий e.bus.sm.stand.30</t>
  </si>
  <si>
    <t>s054003</t>
  </si>
  <si>
    <t>Ізолятор пластиковий e.bus.sm.stand.35</t>
  </si>
  <si>
    <t>s054004</t>
  </si>
  <si>
    <t>Ізолятор пластиковий e.bus.sm.stand.40</t>
  </si>
  <si>
    <t>s054005</t>
  </si>
  <si>
    <t>Ізолятор пластиковий e.bus.sm.stand.51</t>
  </si>
  <si>
    <t>s054006</t>
  </si>
  <si>
    <t>Ізолятор пластиковий e.bus.sm.stand.76</t>
  </si>
  <si>
    <t>2.Ізолятори пластикові SM серії STAND (без кріплення)</t>
  </si>
  <si>
    <t>s054007</t>
  </si>
  <si>
    <t>Ізолятор пластиковий e.bus.sm.stand.25.bk без кріплення під шайби і болти М6 (по 2 шт)</t>
  </si>
  <si>
    <t>s054008</t>
  </si>
  <si>
    <t>Ізолятор пластиковий e.bus.sm.stand.30.bk без кріплення під шайби і болти М6 (по 2 шт)</t>
  </si>
  <si>
    <t>s054009</t>
  </si>
  <si>
    <t>Ізолятор пластиковий e.bus.sm.stand.35.bk без кріплення під шайби і болти М8 (по 2 шт)</t>
  </si>
  <si>
    <t>s054010</t>
  </si>
  <si>
    <t>Ізолятор пластиковий e.bus.sm.stand.40.bk без кріплення під шайби і болти М8 (по 2 шт)</t>
  </si>
  <si>
    <t>s054011</t>
  </si>
  <si>
    <t>Ізолятор пластиковий e.bus.sm.stand.51.bk без кріплення  під шайби і болти М8 (по 2 шт)</t>
  </si>
  <si>
    <t>s054012</t>
  </si>
  <si>
    <t>Ізолятор пластиковий e.bus.sm.stand.76.bk без кріплення під шайби і болти М10 (по 2 шт)</t>
  </si>
  <si>
    <t>m054025</t>
  </si>
  <si>
    <t>Болт метричний e.metiz.bolthex.1.566.2.60.10  з шестигранною голівкою, повна різьба 6,0х10мм</t>
  </si>
  <si>
    <t>m054026</t>
  </si>
  <si>
    <t>Болт метричний e.metiz.bolthex.1.566.2.80.14 з шестигранною голівкою, повна різьба 8,0х14мм</t>
  </si>
  <si>
    <t>m054027</t>
  </si>
  <si>
    <t>Болт метричний e.metiz.bolthex.1.566.2.100.14 з шестигранною голівкою, повна різьба 10,0х14мм</t>
  </si>
  <si>
    <t>m054024</t>
  </si>
  <si>
    <t>Болт метричний e.metiz.bolthex.1.566.2.100.16 з шестигранною голівкою, повна різьба 10,0х16мм</t>
  </si>
  <si>
    <t>m054028</t>
  </si>
  <si>
    <t>Шайба пружинна кв.сеч.6  e.metiz.washer.1.7Р.2.06</t>
  </si>
  <si>
    <t>m054029</t>
  </si>
  <si>
    <t>Шайба пружинна кв.сеч.8  e.metiz.washer.1.7Р.2.08</t>
  </si>
  <si>
    <t>m054030</t>
  </si>
  <si>
    <t>Шайба пружинна кв.сеч.10  e.metiz.washer.1.7Р.2.10</t>
  </si>
  <si>
    <t>8.Шина з'єднувальна BC серії STAND</t>
  </si>
  <si>
    <t>1.Шина штирового типу BC серії STAND</t>
  </si>
  <si>
    <t>s017001</t>
  </si>
  <si>
    <t>Шина з'єднувальна e.bc.stand.1.63, 1п., 63 А</t>
  </si>
  <si>
    <t>s017004</t>
  </si>
  <si>
    <t>Шина з'єднувальна e.bc.stand.1.100, 1п., 100 А</t>
  </si>
  <si>
    <t>s017007</t>
  </si>
  <si>
    <t>Шина з'єднувальна е.bc.stand.1.12.63, 1п., 63 А, 12 модулів</t>
  </si>
  <si>
    <t>s017002</t>
  </si>
  <si>
    <t>Шина з'єднувальна e.bc.stand.2.63, 2п., 63 А</t>
  </si>
  <si>
    <t>s017005</t>
  </si>
  <si>
    <t>Шина з'єднувальна e.bc.stand.2.100, 2п., 100 А</t>
  </si>
  <si>
    <t>s017003</t>
  </si>
  <si>
    <t>Шина з'єднувальна e.bc.stand.3.63, 3п., 63 А</t>
  </si>
  <si>
    <t>s017006</t>
  </si>
  <si>
    <t>Шина з'єднувальна e.bc.stand.3.100, 3п., 100 А</t>
  </si>
  <si>
    <t>s017008</t>
  </si>
  <si>
    <t>Шина з'єднувальна е.bc.stand.3.12.63, 3п., 63 А, 12 модулів</t>
  </si>
  <si>
    <t>2.Шини вилочного типу U серії STAND</t>
  </si>
  <si>
    <t>s180001</t>
  </si>
  <si>
    <t>Шина з'єднувальна e.bc.u.stand.1.63 вилочного U-типу 1р, 63А</t>
  </si>
  <si>
    <t>s180005</t>
  </si>
  <si>
    <t>Шина з'єднувальна e.bc.u.stand.1.100 вилочного U-типу 1р, 100А</t>
  </si>
  <si>
    <t>s180002</t>
  </si>
  <si>
    <t>Шина з'єднувальна e.bc.u.stand.2.63 вилочного U-типу 2р, 63А</t>
  </si>
  <si>
    <t>s180006</t>
  </si>
  <si>
    <t>Шина з'єднувальна e.bc.u.stand.2.100 вилочного U-типу 2р, 100А</t>
  </si>
  <si>
    <t>s180003</t>
  </si>
  <si>
    <t>Шина з'єднувальна e.bc.u.stand.3.63 вилочного U-типу 3р, 63А</t>
  </si>
  <si>
    <t>s180007</t>
  </si>
  <si>
    <t>Шина з'єднувальна e.bc.u.stand.3.100 вилочного U-типу 3р, 100А</t>
  </si>
  <si>
    <t>s180004</t>
  </si>
  <si>
    <t>Шина з'єднувальна e.bc.u.stand.4.63 вилочного U-типу 4р, 63А</t>
  </si>
  <si>
    <t>s180008</t>
  </si>
  <si>
    <t>Шина з'єднувальна e.bc.u.stand.4.100 вилочного U-типу 4р, 100А</t>
  </si>
  <si>
    <t>9.Спіральна обв'язка SPIRAL серії STAND</t>
  </si>
  <si>
    <t>s2038008</t>
  </si>
  <si>
    <t>Спіральна обв'язка e.spiral.stand.3, 1,5-10 мм, 10м</t>
  </si>
  <si>
    <t>s2038010</t>
  </si>
  <si>
    <t>Спіральна обв'язка e.spiral.stand.3.black, 1,5-10 мм, 10м, чорна</t>
  </si>
  <si>
    <t>s2038001</t>
  </si>
  <si>
    <t>Спіральна обв'язка e.spiral.stand.6, 4-50 мм, 10м</t>
  </si>
  <si>
    <t>s2038011</t>
  </si>
  <si>
    <t>Спіральна обв'язка e.spiral.stand.6.black, 4-50 мм, 10м, чорна</t>
  </si>
  <si>
    <t>s2038002</t>
  </si>
  <si>
    <t>Спіральна обв'язка e.spiral.stand.8, 6-60 мм, 10м</t>
  </si>
  <si>
    <t>s2038012</t>
  </si>
  <si>
    <t>Спіральна обв'язка e.spiral.stand.8.black, 6-60 мм, 10м, чорна</t>
  </si>
  <si>
    <t>s2038003</t>
  </si>
  <si>
    <t>Спіральна обв'язка e.spiral.stand.10, 8-60 мм, 10м</t>
  </si>
  <si>
    <t>s2038013</t>
  </si>
  <si>
    <t>Спіральна обв'язка e.spiral.stand.10.black, 8-60 мм, 10м, чорна</t>
  </si>
  <si>
    <t>s2038004</t>
  </si>
  <si>
    <t>Спіральна обв'язка e.spiral.stand.12, 9-65 мм, 10м</t>
  </si>
  <si>
    <t>s2038014</t>
  </si>
  <si>
    <t>Спіральна обв'язка e.spiral.stand.12.black, 9-65 мм, 10м, чорна</t>
  </si>
  <si>
    <t>s2038005</t>
  </si>
  <si>
    <t>Спіральна обв'язка e.spiral.stand.15, 15-70 мм, 10м</t>
  </si>
  <si>
    <t>s2038015</t>
  </si>
  <si>
    <t>Спіральна обв'язка e.spiral.stand.15.black, 12-75 мм, 10м, чорна</t>
  </si>
  <si>
    <t>s2038006</t>
  </si>
  <si>
    <t>Спіральна обв'язка e.spiral.stand.19, 15-100 мм, 10м</t>
  </si>
  <si>
    <t>s2038016</t>
  </si>
  <si>
    <t>Спіральна обв'язка e.spiral.stand.19.black, 15-100 мм, 10м, чорна</t>
  </si>
  <si>
    <t>s2038007</t>
  </si>
  <si>
    <t>Спіральна обв'язка e.spiral.stand.24, 20-130мм, 10м</t>
  </si>
  <si>
    <t>s2038017</t>
  </si>
  <si>
    <t>Спіральна обв'язка e.spiral.stand.24.black, 20-130 мм, 10м, чорна</t>
  </si>
  <si>
    <t>s2038009</t>
  </si>
  <si>
    <t>Спіральна обв'язка e.spiral.stand.30, 26-150 мм, 10м</t>
  </si>
  <si>
    <t>s2038018</t>
  </si>
  <si>
    <t>Спіральна обв'язка e.spiral.stand.30.black, 26-150 мм, 10м, чорна</t>
  </si>
  <si>
    <t>10.Кабельний маркер MARKER серії STAND</t>
  </si>
  <si>
    <t>s2037031</t>
  </si>
  <si>
    <t>Маркер кабельний e.marker.stand.0.1.5.0, 0-1,5 кв.мм, "0", 1000 шт</t>
  </si>
  <si>
    <t>s2037032</t>
  </si>
  <si>
    <t>Маркер кабельний e.marker.stand.0.1.5.1, 0-1,5 кв.мм, "1", 1000 шт</t>
  </si>
  <si>
    <t>s2037033</t>
  </si>
  <si>
    <t>Маркер кабельний e.marker.stand.0.1.5.2, 0-1,5 кв.мм, "2", 1000 шт</t>
  </si>
  <si>
    <t>s2037034</t>
  </si>
  <si>
    <t>Маркер кабельний e.marker.stand.0.1.5.3, 0-1,5 кв.мм, "3", 1000 шт</t>
  </si>
  <si>
    <t>s2037035</t>
  </si>
  <si>
    <t>Маркер кабельний e.marker.stand.0.1.5.4, 0-1,5 кв.мм, "4", 1000 шт</t>
  </si>
  <si>
    <t>s2037036</t>
  </si>
  <si>
    <t>Маркер кабельний e.marker.stand.0.1.5.5, 0-1,5 кв.мм, "5", 1000 шт</t>
  </si>
  <si>
    <t>s2037037</t>
  </si>
  <si>
    <t>Маркер кабельний e.marker.stand.0.1.5.6, 0-1,5 кв.мм, "6", 1000 шт</t>
  </si>
  <si>
    <t>s2037038</t>
  </si>
  <si>
    <t>Маркер кабельний e.marker.stand.0.1.5.7, 0-1,5 кв.мм, "7", 1000 шт</t>
  </si>
  <si>
    <t>s2037039</t>
  </si>
  <si>
    <t>Маркер кабельний e.marker.stand.0.1.5.8, 0-1,5 кв.мм, "8", 1000 шт</t>
  </si>
  <si>
    <t>s2037040</t>
  </si>
  <si>
    <t>Маркер кабельний e.marker.stand.0.1.5.9, 0-1,5 кв.мм, "9", 1000 шт</t>
  </si>
  <si>
    <t>s2037041</t>
  </si>
  <si>
    <t>Маркер кабельний e.marker.stand.0.1.5.A, 0-1,5 кв.мм, "A", 1000 шт</t>
  </si>
  <si>
    <t>s2037042</t>
  </si>
  <si>
    <t>Маркер кабельний e.marker.stand.0.1.5.B, 0-1,5 кв.мм, "B", 1000 шт</t>
  </si>
  <si>
    <t>s2037043</t>
  </si>
  <si>
    <t>Маркер кабельний e.marker.stand.0.1.5.C, 0-1,5 кв.мм, "C", 1000 шт</t>
  </si>
  <si>
    <t>s2037044</t>
  </si>
  <si>
    <t>Маркер кабельний e.marker.stand.0.1.5.N, 0-1,5 кв.мм, "N", 1000 шт</t>
  </si>
  <si>
    <t>s2037045</t>
  </si>
  <si>
    <t>Маркер кабельний e.marker.stand.1.2.5.0, 1-2,5 кв.мм, "0", 1000 шт</t>
  </si>
  <si>
    <t>s2037046</t>
  </si>
  <si>
    <t>Маркер кабельний e.marker.stand.1.2.5.1, 1-2,5 кв.мм, "1", 1000 шт</t>
  </si>
  <si>
    <t>s2037047</t>
  </si>
  <si>
    <t>Маркер кабельний e.marker.stand.1.2.5.2, 1-2,5 кв.мм, "2", 1000 шт</t>
  </si>
  <si>
    <t>s2037048</t>
  </si>
  <si>
    <t>Маркер кабельний e.marker.stand.1.2.5.3, 1-2,5 кв.мм, "3", 1000 шт</t>
  </si>
  <si>
    <t>s2037049</t>
  </si>
  <si>
    <t>Маркер кабельний e.marker.stand.1.2.5.4, 1-2,5 кв.мм, "4", 1000 шт</t>
  </si>
  <si>
    <t>s2037050</t>
  </si>
  <si>
    <t>Маркер кабельний e.marker.stand.1.2.5.5, 1-2,5 кв.мм, "5", 1000 шт</t>
  </si>
  <si>
    <t>s2037051</t>
  </si>
  <si>
    <t>Маркер кабельний e.marker.stand.1.2.5.6, 1-2,5 кв.мм, "6", 1000 шт</t>
  </si>
  <si>
    <t>s2037052</t>
  </si>
  <si>
    <t>Маркер кабельний e.marker.stand.1.2.5.7, 1-2,5 кв.мм, "7", 1000 шт</t>
  </si>
  <si>
    <t>s2037053</t>
  </si>
  <si>
    <t>Маркер кабельний e.marker.stand.1.2.5.8, 1-2,5 кв.мм, "8", 1000 шт</t>
  </si>
  <si>
    <t>s2037054</t>
  </si>
  <si>
    <t>Маркер кабельний e.marker.stand.1.2.5.9, 1-2,5 кв.мм, "9", 1000 шт</t>
  </si>
  <si>
    <t>s2037055</t>
  </si>
  <si>
    <t>Маркер кабельний e.marker.stand.1.2.5.A, 1-2,5 кв.мм, "A", 1000 шт</t>
  </si>
  <si>
    <t>s2037056</t>
  </si>
  <si>
    <t>Маркер кабельний e.marker.stand.1.2.5.B, 1-2,5 кв.мм, "B", 1000 шт</t>
  </si>
  <si>
    <t>s2037057</t>
  </si>
  <si>
    <t>Маркер кабельний e.marker.stand.1.2.5.C, 1-2,5 кв.мм, "C", 1000 шт</t>
  </si>
  <si>
    <t>s2037058</t>
  </si>
  <si>
    <t>Маркер кабельний e.marker.stand.1.2.5.N, 1-2,5 кв.мм, "N", 1000 шт</t>
  </si>
  <si>
    <t>s2037059</t>
  </si>
  <si>
    <t>Маркер кабельний e.marker.stand.2.4.0, 2-4 кв.мм, "0", 500 шт</t>
  </si>
  <si>
    <t>s2037060</t>
  </si>
  <si>
    <t>Маркер кабельний e.marker.stand.2.4.1, 2-4 кв.мм, "1", 500 шт</t>
  </si>
  <si>
    <t>s2037061</t>
  </si>
  <si>
    <t>Маркер кабельний e.marker.stand.2.4.2, 2-4 кв.мм, "2", 500 шт</t>
  </si>
  <si>
    <t>s2037062</t>
  </si>
  <si>
    <t>Маркер кабельний e.marker.stand.2.4.3, 2-4 кв.мм, "3", 500 шт</t>
  </si>
  <si>
    <t>s2037063</t>
  </si>
  <si>
    <t>Маркер кабельний e.marker.stand.2.4.4, 2-4 кв.мм, "4", 500 шт</t>
  </si>
  <si>
    <t>s2037064</t>
  </si>
  <si>
    <t>Маркер кабельний e.marker.stand.2.4.5, 2-4 кв.мм, "5", 500 шт</t>
  </si>
  <si>
    <t>s2037065</t>
  </si>
  <si>
    <t>Маркер кабельний e.marker.stand.2.4.6, 2-4 кв.мм, "6", 500 шт</t>
  </si>
  <si>
    <t>s2037066</t>
  </si>
  <si>
    <t>Маркер кабельний e.marker.stand.2.4.7, 2-4 кв.мм, "7", 500 шт</t>
  </si>
  <si>
    <t>s2037067</t>
  </si>
  <si>
    <t>Маркер кабельний e.marker.stand.2.4.8, 2-4 кв.мм, "8", 500 шт</t>
  </si>
  <si>
    <t>s2037068</t>
  </si>
  <si>
    <t>Маркер кабельний e.marker.stand.2.4.9, 2-4 кв.мм, "9", 500 шт</t>
  </si>
  <si>
    <t>s2037069</t>
  </si>
  <si>
    <t>Маркер кабельний e.marker.stand.2.4.A, 2-4 кв.мм, "A", 500 шт</t>
  </si>
  <si>
    <t>s2037070</t>
  </si>
  <si>
    <t>Маркер кабельний e.marker.stand.2.4.B, 2-4 кв.мм, "B", 500 шт</t>
  </si>
  <si>
    <t>s2037071</t>
  </si>
  <si>
    <t>Маркер кабельний e.marker.stand.2.4.C, 2-4 кв.мм, "C", 500 шт</t>
  </si>
  <si>
    <t>s2037072</t>
  </si>
  <si>
    <t>Маркер кабельний e.marker.stand.2.4.N, 2-4 кв.мм, "N", 500 шт</t>
  </si>
  <si>
    <t>s2037011</t>
  </si>
  <si>
    <t>Маркер кабельний e.marker.stand.3.5.8.0, 3,5-8 кв.мм, "0", 500 шт</t>
  </si>
  <si>
    <t>s2037073</t>
  </si>
  <si>
    <t>Маркер кабельний e.marker.stand.3.6.0, 3-6 кв.мм, "0", 350 шт</t>
  </si>
  <si>
    <t>s2037074</t>
  </si>
  <si>
    <t>Маркер кабельний e.marker.stand.3.6.1, 3-6 кв.мм, "1", 350 шт</t>
  </si>
  <si>
    <t>s2037075</t>
  </si>
  <si>
    <t>Маркер кабельний e.marker.stand.3.6.2, 3-6 кв.мм, "2", 350 шт</t>
  </si>
  <si>
    <t>s2037076</t>
  </si>
  <si>
    <t>Маркер кабельний e.marker.stand.3.6.3, 3-6 кв.мм, "3", 350 шт</t>
  </si>
  <si>
    <t>s2037077</t>
  </si>
  <si>
    <t>Маркер кабельний e.marker.stand.3.6.4, 3-6 кв.мм, "4", 350 шт</t>
  </si>
  <si>
    <t>s2037078</t>
  </si>
  <si>
    <t>Маркер кабельний e.marker.stand.3.6.5, 3-6 кв.мм, "5", 350 шт</t>
  </si>
  <si>
    <t>s2037079</t>
  </si>
  <si>
    <t>Маркер кабельний e.marker.stand.3.6.6, 3-6 кв.мм, "6", 350 шт</t>
  </si>
  <si>
    <t>s2037080</t>
  </si>
  <si>
    <t>Маркер кабельний e.marker.stand.3.6.7, 3-6 кв.мм, "7", 350 шт</t>
  </si>
  <si>
    <t>s2037081</t>
  </si>
  <si>
    <t>Маркер кабельний e.marker.stand.3.6.8, 3-6 кв.мм, "8", 350 шт</t>
  </si>
  <si>
    <t>s2037082</t>
  </si>
  <si>
    <t>Маркер кабельний e.marker.stand.3.6.9, 3-6 кв.мм, "9", 350 шт</t>
  </si>
  <si>
    <t>s2037083</t>
  </si>
  <si>
    <t>Маркер кабельний e.marker.stand.3.6.A, 3-6 кв.мм, "A", 350 шт</t>
  </si>
  <si>
    <t>s2037084</t>
  </si>
  <si>
    <t>Маркер кабельний e.marker.stand.3.6.B, 3-6 кв.мм, "B", 350 шт</t>
  </si>
  <si>
    <t>s2037085</t>
  </si>
  <si>
    <t>Маркер кабельний e.marker.stand.3.6.C, 3-6 кв.мм, "C", 350 шт</t>
  </si>
  <si>
    <t>s2037086</t>
  </si>
  <si>
    <t>Маркер кабельний e.marker.stand.3.6.N, 3-6 кв.мм, "N", 350 шт</t>
  </si>
  <si>
    <t>11.З'єднувачі гвинтові конічні CONNECTOR серії PRO</t>
  </si>
  <si>
    <t>p015001</t>
  </si>
  <si>
    <t>Скотч-лок e.connector.pro.6,5 (P71)</t>
  </si>
  <si>
    <t>2.Вироби для кріплення</t>
  </si>
  <si>
    <t>1.Кабельні скоби круглі CCC серії STAND</t>
  </si>
  <si>
    <t>s014001</t>
  </si>
  <si>
    <t>Скоба кругла e.ccc.stand.4 (100шт)</t>
  </si>
  <si>
    <t>s014012</t>
  </si>
  <si>
    <t>Скоба кругла e.ccc.stand.5 (100шт)</t>
  </si>
  <si>
    <t>s014002</t>
  </si>
  <si>
    <t>Скоба кругла e.ccc.stand.6 (100шт)</t>
  </si>
  <si>
    <t>s014013</t>
  </si>
  <si>
    <t>Скоба кругла e.ccc.stand.7 (100шт)</t>
  </si>
  <si>
    <t>s014003</t>
  </si>
  <si>
    <t>Скоба кругла e.ccc.stand.8 (100шт)</t>
  </si>
  <si>
    <t>s014004</t>
  </si>
  <si>
    <t>Скоба кругла e.ccc.stand.10 (100шт)</t>
  </si>
  <si>
    <t>s014005</t>
  </si>
  <si>
    <t>Скоба кругла e.ccc.stand.12 (100шт)</t>
  </si>
  <si>
    <t>s014006</t>
  </si>
  <si>
    <t>Скоба кругла e.ccc.stand.14 (100шт)</t>
  </si>
  <si>
    <t>s014007</t>
  </si>
  <si>
    <t>Скоба кругла e.ccc.stand.16 (100шт)</t>
  </si>
  <si>
    <t>s014008</t>
  </si>
  <si>
    <t>Скоба кругла e.ccc.stand.18 (100шт)</t>
  </si>
  <si>
    <t>s014009</t>
  </si>
  <si>
    <t>Скоба кругла e.ccc.stand.20 (100шт)</t>
  </si>
  <si>
    <t>s014016</t>
  </si>
  <si>
    <t>Скоба кругла e.ccc.stand.20 (50шт)</t>
  </si>
  <si>
    <t>s014011</t>
  </si>
  <si>
    <t>Скоба кругла e.ccc.stand.25 (50шт)</t>
  </si>
  <si>
    <t>2.Кабельні скоби плоскі FCC серії STAND</t>
  </si>
  <si>
    <t>s013001</t>
  </si>
  <si>
    <t>Скоба плоска e.fcc.stand.4 (100шт)</t>
  </si>
  <si>
    <t>s013002</t>
  </si>
  <si>
    <t>Скоба плоска e.fcc.stand.5 (100шт)</t>
  </si>
  <si>
    <t>s013003</t>
  </si>
  <si>
    <t>Скоба плоска e.fcc.stand.6 (100шт)</t>
  </si>
  <si>
    <t>s013004</t>
  </si>
  <si>
    <t>Скоба плоска e.fcc.stand.7 (100шт)</t>
  </si>
  <si>
    <t>s013005</t>
  </si>
  <si>
    <t>Скоба плоска e.fcc.stand.8 (100шт)</t>
  </si>
  <si>
    <t>s013006</t>
  </si>
  <si>
    <t>Скоба плоска e.fcc.stand.9 (100шт)</t>
  </si>
  <si>
    <t>s013007</t>
  </si>
  <si>
    <t>Скоба плоска e.fcc.stand.10 (100шт)</t>
  </si>
  <si>
    <t>s013008</t>
  </si>
  <si>
    <t>Скоба плоска e.fcc.stand.12 (100шт)</t>
  </si>
  <si>
    <t>s013009</t>
  </si>
  <si>
    <t>Скоба плоска e.fcc.stand.14 (100шт)</t>
  </si>
  <si>
    <t>3.Хомути кабельні CT серії STAND</t>
  </si>
  <si>
    <t>1. 60.3</t>
  </si>
  <si>
    <t>s015002</t>
  </si>
  <si>
    <t>Кабельна стяжка e.ct.stand.60.3.black (100шт), чорна</t>
  </si>
  <si>
    <t>s015012</t>
  </si>
  <si>
    <t>Кабельна стяжка e.ct.stand.60.3.blue (100шт), синя</t>
  </si>
  <si>
    <t>s015011</t>
  </si>
  <si>
    <t>Кабельна стяжка e.ct.stand.60.3.green (100шт), зелена</t>
  </si>
  <si>
    <t>s015003</t>
  </si>
  <si>
    <t>Кабельна стяжка e.ct.stand.60.3.red (100шт), червона</t>
  </si>
  <si>
    <t>s015001</t>
  </si>
  <si>
    <t>Кабельна стяжка e.ct.stand.60.3.white (100шт), біла</t>
  </si>
  <si>
    <t>s015010</t>
  </si>
  <si>
    <t>Кабельна стяжка e.ct.stand.60.3.yellow (100шт), жовта</t>
  </si>
  <si>
    <t>2. 100.3</t>
  </si>
  <si>
    <t>s015119</t>
  </si>
  <si>
    <t>Кабельна стяжка e.ct.stand.100.3.black (100шт) чорна</t>
  </si>
  <si>
    <t>s015004</t>
  </si>
  <si>
    <t>Кабельна стяжка e.ct.stand.100.3 (100шт) біла</t>
  </si>
  <si>
    <t>3. 150.3</t>
  </si>
  <si>
    <t>s015121</t>
  </si>
  <si>
    <t>Кабельна стяжка e.ct.stand.150.3.black (100шт)</t>
  </si>
  <si>
    <t>s015005</t>
  </si>
  <si>
    <t>Кабельна стяжка e.ct.stand.150.3.white (100шт)</t>
  </si>
  <si>
    <t>4. 150.4</t>
  </si>
  <si>
    <t>s015020</t>
  </si>
  <si>
    <t>Кабельна стяжка e.ct.stand.150.4.black (100шт), чорна</t>
  </si>
  <si>
    <t>s015024</t>
  </si>
  <si>
    <t>Кабельна стяжка e.ct.stand.150.4.blue (100шт), синя</t>
  </si>
  <si>
    <t>s015023</t>
  </si>
  <si>
    <t>Кабельна стяжка e.ct.stand.150.4.green (100шт), зелена</t>
  </si>
  <si>
    <t>s015021</t>
  </si>
  <si>
    <t>Кабельна стяжка e.ct.stand.150.4.red (100шт), червона</t>
  </si>
  <si>
    <t>s015019</t>
  </si>
  <si>
    <t>Кабельна стяжка e.ct.stand.150.4.white (100шт), біла</t>
  </si>
  <si>
    <t>s015022</t>
  </si>
  <si>
    <t>Кабельна стяжка e.ct.stand.150.4.yellow (100шт), жовта</t>
  </si>
  <si>
    <t>5. 200.3</t>
  </si>
  <si>
    <t>s015014</t>
  </si>
  <si>
    <t>Кабельна стяжка e.ct.stand.200.3.black (100шт), чорна</t>
  </si>
  <si>
    <t>s015018</t>
  </si>
  <si>
    <t>Кабельна стяжка e.ct.stand.200.3.blue (100шт), синя</t>
  </si>
  <si>
    <t>s015017</t>
  </si>
  <si>
    <t>Кабельна стяжка e.ct.stand.200.3.green (100шт), зелена</t>
  </si>
  <si>
    <t>s015015</t>
  </si>
  <si>
    <t>Кабельна стяжка e.ct.stand.200.3.red (100шт), червона</t>
  </si>
  <si>
    <t>s015013</t>
  </si>
  <si>
    <t>Кабельна стяжка e.ct.stand.200.3.white (100шт), біла</t>
  </si>
  <si>
    <t>s015016</t>
  </si>
  <si>
    <t>Кабельна стяжка e.ct.stand.200.3.yellow (100шт), жовта</t>
  </si>
  <si>
    <t>6. 200.4</t>
  </si>
  <si>
    <t>s015102</t>
  </si>
  <si>
    <t>Кабельна стяжка e.ct.stand.200.4 (100шт) чорна</t>
  </si>
  <si>
    <t>s015006</t>
  </si>
  <si>
    <t>Кабельна стяжка e.ct.stand.200.4 (100шт) біла</t>
  </si>
  <si>
    <t>7. 200.5</t>
  </si>
  <si>
    <t>s015038</t>
  </si>
  <si>
    <t>Кабельна стяжка e.ct.stand.200.5.black (100шт), чорна</t>
  </si>
  <si>
    <t>s015042</t>
  </si>
  <si>
    <t>Кабельна стяжка e.ct.stand.200.5.blue (100шт), синя</t>
  </si>
  <si>
    <t>s015041</t>
  </si>
  <si>
    <t>Кабельна стяжка e.ct.stand.200.5.green (100шт), зелена</t>
  </si>
  <si>
    <t>s015039</t>
  </si>
  <si>
    <t>Кабельна стяжка e.ct.stand.200.5.red (100шт), червона</t>
  </si>
  <si>
    <t>s015037</t>
  </si>
  <si>
    <t>Кабельна стяжка e.ct.stand.200.5.white (100шт), біла</t>
  </si>
  <si>
    <t>s015040</t>
  </si>
  <si>
    <t>Кабельна стяжка e.ct.stand.200.5.yellow (100шт), жовта</t>
  </si>
  <si>
    <t>8. 280.4</t>
  </si>
  <si>
    <t>s015026</t>
  </si>
  <si>
    <t>Кабельна стяжка e.ct.stand.280.4.black (100шт), чорна</t>
  </si>
  <si>
    <t>s015030</t>
  </si>
  <si>
    <t>Кабельна стяжка e.ct.stand.280.4.blue (100шт), синя</t>
  </si>
  <si>
    <t>s015029</t>
  </si>
  <si>
    <t>Кабельна стяжка e.ct.stand.280.4.green (100шт), зелена</t>
  </si>
  <si>
    <t>s015027</t>
  </si>
  <si>
    <t>Кабельна стяжка e.ct.stand.280.4.red (100шт), червона</t>
  </si>
  <si>
    <t>s015025</t>
  </si>
  <si>
    <t>Кабельна стяжка e.ct.stand.280.4.white (100шт), біла</t>
  </si>
  <si>
    <t>s015028</t>
  </si>
  <si>
    <t>Кабельна стяжка e.ct.stand.280.4.yellow (100шт), жовта</t>
  </si>
  <si>
    <t>9. 300.5</t>
  </si>
  <si>
    <t>s015044</t>
  </si>
  <si>
    <t>Кабельна стяжка e.ct.stand.300.5.black (100шт), чорна</t>
  </si>
  <si>
    <t>s015048</t>
  </si>
  <si>
    <t>Кабельна стяжка e.ct.stand.300.5.blue (100шт), синя</t>
  </si>
  <si>
    <t>s015047</t>
  </si>
  <si>
    <t>Кабельна стяжка e.ct.stand.300.5.green (100шт), зелена</t>
  </si>
  <si>
    <t>s015045</t>
  </si>
  <si>
    <t>Кабельна стяжка e.ct.stand.300.5.red (100шт), червона</t>
  </si>
  <si>
    <t>s015043</t>
  </si>
  <si>
    <t>Кабельна стяжка e.ct.stand.300.5.white (100шт), біла</t>
  </si>
  <si>
    <t>s015046</t>
  </si>
  <si>
    <t>Кабельна стяжка e.ct.stand.300.5.yellow (100шт), жовта</t>
  </si>
  <si>
    <t>10. 300.8</t>
  </si>
  <si>
    <t>s015056</t>
  </si>
  <si>
    <t>Кабельна стяжка e.ct.stand.300.8.black (100шт), чорна</t>
  </si>
  <si>
    <t>s015060</t>
  </si>
  <si>
    <t>Кабельна стяжка e.ct.stand.300.8.blue (100шт), синя</t>
  </si>
  <si>
    <t>s015059</t>
  </si>
  <si>
    <t>Кабельна стяжка e.ct.stand.300.8.green (100шт), зелена</t>
  </si>
  <si>
    <t>s015057</t>
  </si>
  <si>
    <t>Кабельна стяжка e.ct.stand.300.8.red (100шт), червона</t>
  </si>
  <si>
    <t>s015055</t>
  </si>
  <si>
    <t>Кабельна стяжка e.ct.stand.300.8.white (100шт), біла</t>
  </si>
  <si>
    <t>s015058</t>
  </si>
  <si>
    <t>Кабельна стяжка e.ct.stand.300.8.yellow (100шт), жовта</t>
  </si>
  <si>
    <t>11. 370.4</t>
  </si>
  <si>
    <t>s015032</t>
  </si>
  <si>
    <t>Кабельна стяжка e.ct.stand.370.4.black (100шт), чорна</t>
  </si>
  <si>
    <t>s015036</t>
  </si>
  <si>
    <t>Кабельна стяжка e.ct.stand.370.4.blue (100шт), синя</t>
  </si>
  <si>
    <t>s015035</t>
  </si>
  <si>
    <t>Кабельна стяжка e.ct.stand.370.4.green (100шт), зелена</t>
  </si>
  <si>
    <t>s015033</t>
  </si>
  <si>
    <t>Кабельна стяжка e.ct.stand.370.4.red (100шт), червона</t>
  </si>
  <si>
    <t>s015031</t>
  </si>
  <si>
    <t>Кабельна стяжка e.ct.stand.370.4.white (100шт), біла</t>
  </si>
  <si>
    <t>s015034</t>
  </si>
  <si>
    <t>Кабельна стяжка e.ct.stand.370.4.yellow (100шт), жовта</t>
  </si>
  <si>
    <t>12. 400.5</t>
  </si>
  <si>
    <t>s015111</t>
  </si>
  <si>
    <t>Кабельна стяжка e.ct.stand.400.5.black (100шт), чорна</t>
  </si>
  <si>
    <t>s015008</t>
  </si>
  <si>
    <t>Кабельна стяжка e.ct.stand.400.5 (100шт) біла</t>
  </si>
  <si>
    <t>13. 400.8</t>
  </si>
  <si>
    <t>s015062</t>
  </si>
  <si>
    <t>Кабельна стяжка e.ct.stand.400.8.black (100шт), чорна</t>
  </si>
  <si>
    <t>s015066</t>
  </si>
  <si>
    <t>Кабельна стяжка e.ct.stand.400.8.blue (100шт), синя</t>
  </si>
  <si>
    <t>s015065</t>
  </si>
  <si>
    <t>Кабельна стяжка e.ct.stand.400.8.green (100шт), зелена</t>
  </si>
  <si>
    <t>s015063</t>
  </si>
  <si>
    <t>Кабельна стяжка e.ct.stand.400.8.red (100шт), червона</t>
  </si>
  <si>
    <t>s015061</t>
  </si>
  <si>
    <t>Кабельна стяжка e.ct.stand.400.8.white (100шт), біла</t>
  </si>
  <si>
    <t>s015064</t>
  </si>
  <si>
    <t>Кабельна стяжка e.ct.stand.400.8.yellow (100шт), жовта</t>
  </si>
  <si>
    <t>15. 500.8</t>
  </si>
  <si>
    <t>s015009</t>
  </si>
  <si>
    <t>Кабельна стяжка e.ct.stand.500.8 (100шт)</t>
  </si>
  <si>
    <t>s015118</t>
  </si>
  <si>
    <t>Кабельна стяжка e.ct.stand.500.8.black (100шт), чорна</t>
  </si>
  <si>
    <t>16. 760.9</t>
  </si>
  <si>
    <t>s015068</t>
  </si>
  <si>
    <t>Кабельна стяжка e.ct.stand.760.9.black (100шт), чорна</t>
  </si>
  <si>
    <t>s015067</t>
  </si>
  <si>
    <t>Кабельна стяжка e.ct.stand.760.9.white (100шт), біла</t>
  </si>
  <si>
    <t>17. 1020.9</t>
  </si>
  <si>
    <t>s015074</t>
  </si>
  <si>
    <t>Кабельна стяжка e.ct.stand.1020.9.black (100шт), чорна</t>
  </si>
  <si>
    <t>s015073</t>
  </si>
  <si>
    <t>Кабельна стяжка e.ct.stand.1020.9.white (100шт), біла</t>
  </si>
  <si>
    <t>3a.Хомути металеві TIE покриті PPA</t>
  </si>
  <si>
    <t>s019094</t>
  </si>
  <si>
    <t>Хомут металевий покритий PPA  e.steel.tie.ppa.10.450, 450мм</t>
  </si>
  <si>
    <t>s019095</t>
  </si>
  <si>
    <t>Хомут металевий покритий PPA  e.steel.tie.ppa.10.600, 600мм</t>
  </si>
  <si>
    <t>s019096</t>
  </si>
  <si>
    <t>Хомут металевий покритий PPA  e.steel.tie.ppa.10.900, 900мм</t>
  </si>
  <si>
    <t>s019091</t>
  </si>
  <si>
    <t>Хомут металевий покритий PPA  e.steel.tie.ppa.5.150, 150мм</t>
  </si>
  <si>
    <t>s019092</t>
  </si>
  <si>
    <t>Хомут металевий покритий PPA  e.steel.tie.ppa.5.230, 230мм</t>
  </si>
  <si>
    <t>s019093</t>
  </si>
  <si>
    <t>Хомут металевий покритий PPA  e.steel.tie.ppa.5.330, 330мм</t>
  </si>
  <si>
    <t>4.Хомут кабельний з кільцем RCT серії STAND</t>
  </si>
  <si>
    <t>s170004</t>
  </si>
  <si>
    <t>Стяжка кабельна e.rct.stand.100.3.5 з кільцем 100х3,5 мм (250 шт.)</t>
  </si>
  <si>
    <t>s170001</t>
  </si>
  <si>
    <t>Стяжка кабельна e.rct.stand.110.3.5 з кільцем 110х3,5 мм (100 шт.)</t>
  </si>
  <si>
    <t>s170002</t>
  </si>
  <si>
    <t>Стяжка кабельна e.rct.stand.150.3.5 з кільцем 150х3,5 мм (100 шт.)</t>
  </si>
  <si>
    <t>s170003</t>
  </si>
  <si>
    <t>Стяжка кабельна e.rct.stand.200.4.3 з кільцем 200х4,3 мм (100 шт.)</t>
  </si>
  <si>
    <t>5.Хомут маркувальний DCT серії STAND</t>
  </si>
  <si>
    <t>s057002</t>
  </si>
  <si>
    <t>Хомут маркувальний e.dct.stand.5.250.red</t>
  </si>
  <si>
    <t>6.Обойми кабельні та хомути українського виробництва HOLDER серії STAND</t>
  </si>
  <si>
    <t>s0430008</t>
  </si>
  <si>
    <t>Хомут з дюбелем e.ctdub.stand.140.10.10.40, хомут 140х10мм, дюбель 10х40мм, (діаметр труби 10-40мм) (50шт)</t>
  </si>
  <si>
    <t>s0430006</t>
  </si>
  <si>
    <t>Хомут з дюбелем e.ctdub.stand.90.6.6.35, хомут 90х6мм, дюбель 6х35мм, (діаметр труби 6-25мм) (50 шт)</t>
  </si>
  <si>
    <t>s0430007</t>
  </si>
  <si>
    <t>Хомут з дюбелем e.ctdub.stand.90.7.8.35, хомут 90х7мм, дюбель 8х35мм, (діаметр труби 10-25мм) (50шт)</t>
  </si>
  <si>
    <t>s0430087</t>
  </si>
  <si>
    <t>Хомут з дюбелем e.ctdub.stand.90.7.8.35, хомут 90х7мм, дюбель 8х35мм, (діаметр труби 10-25мм) (25шт)</t>
  </si>
  <si>
    <t>s0430009</t>
  </si>
  <si>
    <t>Обойма для труб і кабелю e.holder.stand.10.12,  d=10-12мм (100шт)</t>
  </si>
  <si>
    <t>s0430010</t>
  </si>
  <si>
    <t>Обойма для труб і кабелю e.holder.stand.13.14,  d=13-14мм (100шт)</t>
  </si>
  <si>
    <t>s0430001</t>
  </si>
  <si>
    <t>Обойма для труб і кабелю e.holder.stand.15.16,  d=15-16мм (50шт)</t>
  </si>
  <si>
    <t>s0430002</t>
  </si>
  <si>
    <t>Обойма для труб і кабелю e.holder.stand.18.20,  d=18-20мм (50шт)</t>
  </si>
  <si>
    <t>s0430003</t>
  </si>
  <si>
    <t>Обойма для труб і кабелю e.holder.stand.20.22,  d=20-22мм (50шт)</t>
  </si>
  <si>
    <t>s0430004</t>
  </si>
  <si>
    <t>Обойма для труб і кабелю e.holder.stand.25.27,  d=25-27мм (25шт)</t>
  </si>
  <si>
    <t>s0430005</t>
  </si>
  <si>
    <t>Обойма для труб і кабелю e.holder.stand.32.34,  d=32-34мм (25 шт)</t>
  </si>
  <si>
    <t>s0430011</t>
  </si>
  <si>
    <t>Обойма для труб і кабелю e.holder.stand.40,  d=40мм (25 шт)</t>
  </si>
  <si>
    <t>s0430012</t>
  </si>
  <si>
    <t>Обойма для труб і кабелю e.holder.stand.50,  d=50мм (25 шт)</t>
  </si>
  <si>
    <t>s0430013</t>
  </si>
  <si>
    <t>Обойма для труб і кабелю e.holder.stand.7.8,  d=7-8мм (100шт)</t>
  </si>
  <si>
    <t>s0430028</t>
  </si>
  <si>
    <t>Кріплення ремінне КР-25  (100 шт)</t>
  </si>
  <si>
    <t>s0430029</t>
  </si>
  <si>
    <t>Кріплення ремінне КР-40  (100 шт)</t>
  </si>
  <si>
    <t>s0430129</t>
  </si>
  <si>
    <t>Кріплення ремінне КР-40  (25 шт)</t>
  </si>
  <si>
    <t>s0430030</t>
  </si>
  <si>
    <t>Кріплення ремінне КР-63 (50 шт)</t>
  </si>
  <si>
    <t>7.Дюбеля DOWEL</t>
  </si>
  <si>
    <t>m0060036</t>
  </si>
  <si>
    <t>Дюбель "Їжак" e.metiz.dowel.92.05.08.30 без шурупа М8х30 поліетилен, буртик 100шт</t>
  </si>
  <si>
    <t>m0060006</t>
  </si>
  <si>
    <t>Дюбель e.metiz.dowel.92.U1.06.40, c ударним шурупом М6х40 поліпропілен, потай 100 шт</t>
  </si>
  <si>
    <t>m0080017</t>
  </si>
  <si>
    <t>Дюбель e.metiz.dowel.92.U1.06.40.b, c ударним шурупом М6х40 поліпропілен, буртик 100 шт</t>
  </si>
  <si>
    <t>m0060037</t>
  </si>
  <si>
    <t>Дюбель e.metiz.dowel.92.U1.06.40рр.glass, зі склонаповненим цвяхом М6х40 поліпропілен, потай 100 шт</t>
  </si>
  <si>
    <t>m0060027</t>
  </si>
  <si>
    <t>Дюбель e.metiz.dowel.92.U1.06.60, c ударним шурупом М6х60 поліпропілен, потай</t>
  </si>
  <si>
    <t>m0060028</t>
  </si>
  <si>
    <t>Дюбель e.metiz.dowel.92.U1.06.80, c ударним шурупом M6x80 поліпропілен, потай 100 шт</t>
  </si>
  <si>
    <t>m0060030</t>
  </si>
  <si>
    <t>Дюбель e.metiz.dowel.92.U1.08.60, c ударним шурупом М8х60 поліпропілен, потай 100 шт</t>
  </si>
  <si>
    <t>m0060031</t>
  </si>
  <si>
    <t>Дюбель e.metiz.dowel.92.U1.08.80, c ударним шурупом М8х80 п/п, потай</t>
  </si>
  <si>
    <t>m0080011</t>
  </si>
  <si>
    <t>Дюбель - ялинка 10 mm  для круглого проводу e.metiz.dowel.fir.10,  100 шт.</t>
  </si>
  <si>
    <t>m0080012</t>
  </si>
  <si>
    <t>Дюбель - ялинка 12 mm  для круглого проводу e.metiz.dowel.fir.12,  100 шт.</t>
  </si>
  <si>
    <t>m0080112</t>
  </si>
  <si>
    <t>Дюбель - ялинка 16 mm  для круглого проводу e.metiz.dowel.fir.16,  50 шт.</t>
  </si>
  <si>
    <t>m0080113</t>
  </si>
  <si>
    <t>Дюбель - ялинка 20 mm  для круглого проводу e.metiz.dowel.fir.20,  50 шт.</t>
  </si>
  <si>
    <t>m0080018</t>
  </si>
  <si>
    <t>Дюбель - ялинка  (затиск)  4 mm  для кругл.каб  100 шт</t>
  </si>
  <si>
    <t>m0080009</t>
  </si>
  <si>
    <t>Дюбель - ялинка 6 mm  для круглого проводу e.metiz.dowel.fir.6,  100 шт.</t>
  </si>
  <si>
    <t>m0080010</t>
  </si>
  <si>
    <t>Дюбель - ялинка  8 mm  для круглого проводу, e.metiz.dowel.fir.8  100 шт.</t>
  </si>
  <si>
    <t>m0080015</t>
  </si>
  <si>
    <t>Дюбель - ялинка 10 mm  для плоского проводу e.metiz.dowel.flat.fir.10,  100 шт.</t>
  </si>
  <si>
    <t>m0080016</t>
  </si>
  <si>
    <t>Дюбель - ялинка 12 mm  для плоского проводу, e.metiz.dowel.flat.fir.12  100 шт.</t>
  </si>
  <si>
    <t>m0080124</t>
  </si>
  <si>
    <t>Дюбель - ялинка подвійна 12х5 mm для плоского проводу, e.metiz.dowel.flat.fir.12T 100 шт.</t>
  </si>
  <si>
    <t>m0080023</t>
  </si>
  <si>
    <t>Дюбель - ялинка 14 mm  для плоского проводу e.metiz.dowel.flat.fir.14 ,  100 шт.</t>
  </si>
  <si>
    <t>m0080014</t>
  </si>
  <si>
    <t>Дюбель - ялинка  (затиск)  6 mm  для плоского каб  100 шт</t>
  </si>
  <si>
    <t>m0080013</t>
  </si>
  <si>
    <t>Дюбель - ялинка  8 mm  для плоского проводу e.metiz.dowel.flat.fir.8,  100 шт.</t>
  </si>
  <si>
    <t>m0080002</t>
  </si>
  <si>
    <t>Кріплення стяжки e.metiz.сtdub.6.3 10/37/6,3 100 шт</t>
  </si>
  <si>
    <t>8.Основа самоклеюча для хомутів CTB серії STAND</t>
  </si>
  <si>
    <t>s015097</t>
  </si>
  <si>
    <t>Основа e.ctb.stand.20.20 під кабельну стяжку, 20х20мм</t>
  </si>
  <si>
    <t>s015098</t>
  </si>
  <si>
    <t>Основа e.ctb.stand.25.25 під кабельну стяжку, 25х25мм</t>
  </si>
  <si>
    <t>s015099</t>
  </si>
  <si>
    <t>Основа e.ctb.stand.30.30 під кабельну стяжку, 30х30мм</t>
  </si>
  <si>
    <t>s015100</t>
  </si>
  <si>
    <t>Основа e.ctb.stand.40.40 під кабельну стяжку,  40х40мм</t>
  </si>
  <si>
    <t>9.Ковпачки термоусаджувані INS серії PRO</t>
  </si>
  <si>
    <t>p030001</t>
  </si>
  <si>
    <t>Ковпачок термоусаджуваний e.end.ins.pro.10, 10мм</t>
  </si>
  <si>
    <t>p030020</t>
  </si>
  <si>
    <t>Ковпачок термоусаджуваний e.end.ins.pro.13, 13мм</t>
  </si>
  <si>
    <t>p030002</t>
  </si>
  <si>
    <t>Ковпачок термоусаджуваний e.end.ins.pro.18, 18мм</t>
  </si>
  <si>
    <t>p030004</t>
  </si>
  <si>
    <t>Ковпачок термоусаджуваний e.end.ins.pro.23, 23мм</t>
  </si>
  <si>
    <t>p030005</t>
  </si>
  <si>
    <t>Ковпачок термоусаджуваний e.end.ins.pro.25, 25мм</t>
  </si>
  <si>
    <t>p030007</t>
  </si>
  <si>
    <t>Ковпачок термоусаджуваний e.end.ins.pro.30, 30мм</t>
  </si>
  <si>
    <t>p030009</t>
  </si>
  <si>
    <t>Ковпачок термоусаджуваний e.end.ins.pro.45, 45мм</t>
  </si>
  <si>
    <t>p030010</t>
  </si>
  <si>
    <t>Ковпачок термоусаджуваний e.end.ins.pro.50, 50мм</t>
  </si>
  <si>
    <t>p030012</t>
  </si>
  <si>
    <t>Ковпачок термоусаджуваний e.end.ins.pro.65, 65мм</t>
  </si>
  <si>
    <t>p030013</t>
  </si>
  <si>
    <t>Ковпачок термоусаджуваний e.end.ins.pro.70, 70мм</t>
  </si>
  <si>
    <t>p030014</t>
  </si>
  <si>
    <t>Ковпачок термоусаджуваний e.end.ins.pro.80, 80мм</t>
  </si>
  <si>
    <t>p030016</t>
  </si>
  <si>
    <t>Ковпачок термоусаджуваний e.end.ins.pro.100, 100мм</t>
  </si>
  <si>
    <t>p030017</t>
  </si>
  <si>
    <t>Ковпачок термоусаджуваний e.end.ins.pro.120, 120мм</t>
  </si>
  <si>
    <t>p030019</t>
  </si>
  <si>
    <t>Клапан до ковпачка термоусаджуваного e.end.ins.valve</t>
  </si>
  <si>
    <t>10.Рукавички термоусаджувані GLOVE 1kV</t>
  </si>
  <si>
    <t>s058012</t>
  </si>
  <si>
    <t>Рукавичка термоусаджувана e.heat.glove.2.10.16, 2х10-16кв.мм</t>
  </si>
  <si>
    <t>s058013</t>
  </si>
  <si>
    <t>Рукавичка термоусаджувана e.heat.glove.2.25.50, 2х25-50кв.мм</t>
  </si>
  <si>
    <t>s058014</t>
  </si>
  <si>
    <t>Рукавичка термоусаджувана e.heat.glove.2.70.120, 2х70-120кв.мм</t>
  </si>
  <si>
    <t>s058001</t>
  </si>
  <si>
    <t>Рукавичка термоусаджувана e.heat.glove.3.10.16, 3х10-16кв.мм</t>
  </si>
  <si>
    <t>s058002</t>
  </si>
  <si>
    <t>Рукавичка термоусаджувана e.heat.glove.3.25.50, 3х25-50кв.мм</t>
  </si>
  <si>
    <t>s058003</t>
  </si>
  <si>
    <t>Рукавичка термоусаджувана e.heat.glove.3.70.120, 3х70-120кв.мм</t>
  </si>
  <si>
    <t>s058004</t>
  </si>
  <si>
    <t>Рукавичка термоусаджувана e.heat.glove.3.150.240, 3х150-240кв.мм</t>
  </si>
  <si>
    <t>s058005</t>
  </si>
  <si>
    <t>Рукавичка термоусаджувана e.heat.glove.4.10.16, 4х10-16кв.мм</t>
  </si>
  <si>
    <t>s058006</t>
  </si>
  <si>
    <t>Рукавичка термоусаджувана e.heat.glove.4.25.50, 4х25-50кв.мм</t>
  </si>
  <si>
    <t>s058007</t>
  </si>
  <si>
    <t>Рукавичка термоусаджувана e.heat.glove.4.70.120, 4х70-120кв.мм</t>
  </si>
  <si>
    <t>s058008</t>
  </si>
  <si>
    <t>Рукавичка термоусаджувана e.heat.glove.4.150.240, 4х150-240кв.мм</t>
  </si>
  <si>
    <t>s058009</t>
  </si>
  <si>
    <t>Рукавичка термоусаджувана e.heat.glove.5.25.50, 5х25-50кв.мм</t>
  </si>
  <si>
    <t>s058010</t>
  </si>
  <si>
    <t>Рукавичка термоусаджувана e.heat.glove.5.70.120, 5х70-120кв.мм</t>
  </si>
  <si>
    <t>s058011</t>
  </si>
  <si>
    <t>Рукавичка термоусаджувана e.heat.glove.5.150.240, 5х150-240кв.мм</t>
  </si>
  <si>
    <t>11.Муфти кабельні 3М</t>
  </si>
  <si>
    <t>KE-2351-0989-62320</t>
  </si>
  <si>
    <t>Муфта заливна SCOTCHCAST KIT 91-NBA 0 (4х1,5-4х4; 5х1,5-5х2,5)</t>
  </si>
  <si>
    <t>KE-2351-0990-42320</t>
  </si>
  <si>
    <t>Муфта заливна SCOTCHCAST KIT 91-NBA 1  (4х1,5-4х10; 5х1,5-5х6)</t>
  </si>
  <si>
    <t>TE-1000-5096-87200</t>
  </si>
  <si>
    <t>Муфта термоусаджувальна з`єднувальна 91AH21-5N (5х6-5х16)</t>
  </si>
  <si>
    <t>TE-1000-5099-27200</t>
  </si>
  <si>
    <t>Муфта термоусаджувальна з`єднувальна 91AH-23N (4х25-4х95)</t>
  </si>
  <si>
    <t>12.Вироби для кріплення OBO Bettermann</t>
  </si>
  <si>
    <t>2149010</t>
  </si>
  <si>
    <t>2955 M20</t>
  </si>
  <si>
    <t>2207028</t>
  </si>
  <si>
    <t>Групове кріплення-захват 2031 M 15 FS</t>
  </si>
  <si>
    <t>2207060</t>
  </si>
  <si>
    <t>Групове кріплення-захват 2031 M 70 FS</t>
  </si>
  <si>
    <t>2204000</t>
  </si>
  <si>
    <t>Кабельний затиск, для 16 дротів  2033 M</t>
  </si>
  <si>
    <t>2204010</t>
  </si>
  <si>
    <t>Кабельний затиск, для 10 дротів  2034 M</t>
  </si>
  <si>
    <t>2149004</t>
  </si>
  <si>
    <t>Скоба Quick  2955 M16</t>
  </si>
  <si>
    <t>2149016</t>
  </si>
  <si>
    <t>Скоба Quick  2955 M25</t>
  </si>
  <si>
    <t>2149022</t>
  </si>
  <si>
    <t>Скоба Quick  2955 M32</t>
  </si>
  <si>
    <t>2149028</t>
  </si>
  <si>
    <t>Скоба Quick  2955 M40</t>
  </si>
  <si>
    <t>2149034</t>
  </si>
  <si>
    <t>Скоба Quick  2955 M50</t>
  </si>
  <si>
    <t>2149040</t>
  </si>
  <si>
    <t>Скоба Quick  2955 M63</t>
  </si>
  <si>
    <t>1361139</t>
  </si>
  <si>
    <t>Дистанційна скоба для кабелів і труб 733 13 G</t>
  </si>
  <si>
    <t>1361163</t>
  </si>
  <si>
    <t>Дистанційна скоба для кабелів і труб 733 16 G</t>
  </si>
  <si>
    <t>1361198</t>
  </si>
  <si>
    <t>Дистанційна скоба для кабелів і труб 733 19 G</t>
  </si>
  <si>
    <t>1361201</t>
  </si>
  <si>
    <t>Дистанційна скоба для кабелів і труб 733 21 G</t>
  </si>
  <si>
    <t>1361236</t>
  </si>
  <si>
    <t>Дистанційна скоба для кабелів і труб 733 23 G</t>
  </si>
  <si>
    <t>1361295</t>
  </si>
  <si>
    <t>Дистанційна скоба для кабелів і труб 733 29 G</t>
  </si>
  <si>
    <t>1361384</t>
  </si>
  <si>
    <t>Дистанційна скоба для кабелів і труб 733 38 G</t>
  </si>
  <si>
    <t>1361481</t>
  </si>
  <si>
    <t>Дистанційна скоба для кабелів і труб 733 48 G</t>
  </si>
  <si>
    <t>1361511</t>
  </si>
  <si>
    <t>Дистанційна скоба для кабелів і труб 733 54 G</t>
  </si>
  <si>
    <t>1361619</t>
  </si>
  <si>
    <t>Дистанційна скоба для кабелів і труб 733 61 G</t>
  </si>
  <si>
    <t>1361635</t>
  </si>
  <si>
    <t>Дистанційна скоба для кабелів і труб 733 63 G</t>
  </si>
  <si>
    <t>13.Кріплення Епіцентр</t>
  </si>
  <si>
    <t>m0080133</t>
  </si>
  <si>
    <t>Основа під хомут кабельний e.cta.stand.15.10.black,  (15х10 H-7мм Ø отв. 3мм), чорний, 100 шт.</t>
  </si>
  <si>
    <t>m0080131</t>
  </si>
  <si>
    <t>Основа під хомут кабельний e.cta.stand.15.10.white, (15х10 H-7мм Ø отв. 3мм), білий, 100 шт.</t>
  </si>
  <si>
    <t>m0080134</t>
  </si>
  <si>
    <t>Основа під хомут кабельний e.cta.stand.22.15.black, (22х15 H-10мм Ø отв. 5мм), чорний, 100 шт.</t>
  </si>
  <si>
    <t>m0080132</t>
  </si>
  <si>
    <t>Основа під хомут кабельний e.cta.stand.22.15.white, (22х15 H-10мм Ø отв. 5мм), білий, 100 шт.</t>
  </si>
  <si>
    <t>m0080130</t>
  </si>
  <si>
    <t>Хомут з дюбелем швидкого монтажу e.ctdub.stand.10-140_25, fi 10-140, 25 шт.</t>
  </si>
  <si>
    <t>m0080128</t>
  </si>
  <si>
    <t>Хомут з дюбелем швидкого монтажу e.ctdub.stand.6.90_25, fi 6-90, 25 шт.</t>
  </si>
  <si>
    <t>m0080129</t>
  </si>
  <si>
    <t>Хомут з дюбелем швидкого монтажу e.ctdub.stand.8.90_25, fi 8-90, 25 шт.</t>
  </si>
  <si>
    <t>m0080125</t>
  </si>
  <si>
    <t>Кріплення ремінне e.holder.belt.stand.25_25, d25 mm, 25 шт.</t>
  </si>
  <si>
    <t>m0080126</t>
  </si>
  <si>
    <t>Кріплення ремінне e.holder.belt.stand.40_25, d40 mm,25 шт.</t>
  </si>
  <si>
    <t>14.Хомути кабельні КО</t>
  </si>
  <si>
    <t>KO-27</t>
  </si>
  <si>
    <t>Хомут кабельний KO-27, d16-27 мм, чорний</t>
  </si>
  <si>
    <t>KO-4/27</t>
  </si>
  <si>
    <t>Хомут кабельний KO-4/27, 4х(16-27) мм, чорний</t>
  </si>
  <si>
    <t>KO-40</t>
  </si>
  <si>
    <t>Хомут кабельний KO-40, d27-40 мм, чорний</t>
  </si>
  <si>
    <t>KO-75</t>
  </si>
  <si>
    <t>Хомут кабельний KO-75, d48-75 мм, чорний</t>
  </si>
  <si>
    <t>KO-3-50-65</t>
  </si>
  <si>
    <t>Хомут кабельний KO-3-50-65, 3х(50-65) мм, чорний</t>
  </si>
  <si>
    <t>KO-54</t>
  </si>
  <si>
    <t>Хомут кабельний KO-54, d34-54 мм, чорний</t>
  </si>
  <si>
    <t>KO-90</t>
  </si>
  <si>
    <t>Хомут кабельний KO-90, d65-90 мм, чорний</t>
  </si>
  <si>
    <t>KO-3-24-36</t>
  </si>
  <si>
    <t>Хомут кабельний KO-3-24-36, 3х(24-36) мм, чорний</t>
  </si>
  <si>
    <t>KO-3-32-47</t>
  </si>
  <si>
    <t>Хомут кабельний KO-3-32-47, 3х(32-47) мм, чорний</t>
  </si>
  <si>
    <t>3.Наконечники і гільзи кабельні</t>
  </si>
  <si>
    <t>1.Наконечники кабельні мідні під пайку SC серії STAND</t>
  </si>
  <si>
    <t>s040012</t>
  </si>
  <si>
    <t>Мідний кабельний наконечник е.end.stand.sc.1.5</t>
  </si>
  <si>
    <t>s040013</t>
  </si>
  <si>
    <t>Мідний кабельний наконечник е.end.stand.sc.2.5</t>
  </si>
  <si>
    <t>s040014</t>
  </si>
  <si>
    <t>Мідний кабельний наконечник е.end.stand.sc.4</t>
  </si>
  <si>
    <t>s040015</t>
  </si>
  <si>
    <t>Мідний кабельний наконечник е.end.stand.sc.6</t>
  </si>
  <si>
    <t>s040001</t>
  </si>
  <si>
    <t>Мідний кабельний наконечник е.end.stand.sc.10</t>
  </si>
  <si>
    <t>s040002</t>
  </si>
  <si>
    <t>Мідний кабельний наконечник е.end.stand.sc.16</t>
  </si>
  <si>
    <t>s040003</t>
  </si>
  <si>
    <t>Мідний кабельний наконечник е.end.stand.sc.25</t>
  </si>
  <si>
    <t>s040004</t>
  </si>
  <si>
    <t>Мідний кабельний наконечник е.end.stand.sc.35</t>
  </si>
  <si>
    <t>s040005</t>
  </si>
  <si>
    <t>Мідний кабельний наконечник е.end.stand.sc.50</t>
  </si>
  <si>
    <t>s040006</t>
  </si>
  <si>
    <t>Мідний кабельний наконечник е.end.stand.sc.70</t>
  </si>
  <si>
    <t>s040007</t>
  </si>
  <si>
    <t>Мідний кабельний наконечник е.end.stand.sc.95</t>
  </si>
  <si>
    <t>s040008</t>
  </si>
  <si>
    <t>Мідний кабельний наконечник е.end.stand.sc.120</t>
  </si>
  <si>
    <t>s040009</t>
  </si>
  <si>
    <t>Мідний кабельний наконечник е.end.stand.sc.150</t>
  </si>
  <si>
    <t>s040010</t>
  </si>
  <si>
    <t>Мідний кабельний наконечник е.end.stand.sc.185</t>
  </si>
  <si>
    <t>s040011</t>
  </si>
  <si>
    <t>Мідний кабельний наконечник е.end.stand.sc.240</t>
  </si>
  <si>
    <t>2.Наконечники кабельні луджені під пайку С серії STAND</t>
  </si>
  <si>
    <t>s19012</t>
  </si>
  <si>
    <t>Мідний луджений кабельний наконечник e.end.stand.c.1.5</t>
  </si>
  <si>
    <t>s19013</t>
  </si>
  <si>
    <t>Мідний луджений кабельний наконечник e.end.stand.c.2.5</t>
  </si>
  <si>
    <t>s19014</t>
  </si>
  <si>
    <t>Мідний луджений кабельний наконечник e.end.stand.c.4</t>
  </si>
  <si>
    <t>s19015</t>
  </si>
  <si>
    <t>Мідний луджений кабельний наконечник e.end.stand.c.6</t>
  </si>
  <si>
    <t>s19001</t>
  </si>
  <si>
    <t>Мідний луджений кабельний наконечник e.end.stand.c.10</t>
  </si>
  <si>
    <t>s19002</t>
  </si>
  <si>
    <t>Мідний луджений кабельний наконечник e.end.stand.c.16</t>
  </si>
  <si>
    <t>s19003</t>
  </si>
  <si>
    <t>Мідний луджений кабельний наконечник e.end.stand.c.25</t>
  </si>
  <si>
    <t>s19004</t>
  </si>
  <si>
    <t>Мідний луджений кабельний наконечник e.end.stand.c.35</t>
  </si>
  <si>
    <t>s19005</t>
  </si>
  <si>
    <t>Мідний луджений кабельний наконечник e.end.stand.c.50</t>
  </si>
  <si>
    <t>s19006</t>
  </si>
  <si>
    <t>Мідний луджений кабельний наконечник e.end.stand.c.70</t>
  </si>
  <si>
    <t>s19007</t>
  </si>
  <si>
    <t>Мідний луджений кабельний наконечник e.end.stand.c.95</t>
  </si>
  <si>
    <t>s19008</t>
  </si>
  <si>
    <t>Мідний луджений кабельний наконечник e.end.stand.c.120</t>
  </si>
  <si>
    <t>s19009</t>
  </si>
  <si>
    <t>Мідний луджений кабельний наконечник e.end.stand.c.150</t>
  </si>
  <si>
    <t>s19010</t>
  </si>
  <si>
    <t>Мідний луджений кабельний наконечник e.end.stand.c.185</t>
  </si>
  <si>
    <t>s19011</t>
  </si>
  <si>
    <t>Мідний луджений кабельний наконечник e.end.stand.c.240</t>
  </si>
  <si>
    <t>3.Наконечники кабельні алюмінієві під опресування А серії STAND</t>
  </si>
  <si>
    <t>s020001</t>
  </si>
  <si>
    <t>Алюмінієвий кабельний наконечник e.end.stand.a.10</t>
  </si>
  <si>
    <t>s020002</t>
  </si>
  <si>
    <t>Алюмінієвий кабельний наконечник e.end.stand.a.16</t>
  </si>
  <si>
    <t>s020003</t>
  </si>
  <si>
    <t>Алюмінієвий кабельний наконечник e.end.stand.a.25</t>
  </si>
  <si>
    <t>s020004</t>
  </si>
  <si>
    <t>Алюмінієвий кабельний наконечник e.end.stand.a.35</t>
  </si>
  <si>
    <t>s020005</t>
  </si>
  <si>
    <t>Алюмінієвий кабельний наконечник e.end.stand.a.50</t>
  </si>
  <si>
    <t>s020012</t>
  </si>
  <si>
    <t>Алюмінієвий кабельний наконечник e.end.stand.a.50.М8 50мм2 М8</t>
  </si>
  <si>
    <t>s020006</t>
  </si>
  <si>
    <t>Алюмінієвий кабельний наконечник e.end.stand.a.70</t>
  </si>
  <si>
    <t>s020007</t>
  </si>
  <si>
    <t>Алюмінієвий кабельний наконечник e.end.stand.a.95</t>
  </si>
  <si>
    <t>s020008</t>
  </si>
  <si>
    <t>Алюмінієвий кабельний наконечник e.end.stand.a.120</t>
  </si>
  <si>
    <t>s020009</t>
  </si>
  <si>
    <t>Алюмінієвий кабельний наконечник e.end.stand.a.150</t>
  </si>
  <si>
    <t>s020010</t>
  </si>
  <si>
    <t>Алюмінієвий кабельний наконечник e.end.stand.a.185</t>
  </si>
  <si>
    <t>s020011</t>
  </si>
  <si>
    <t>Алюмінієвий кабельний наконечник e.end.stand.a.240</t>
  </si>
  <si>
    <t>4.Наконечники кабельні мідні під опресовування DT серії STAND</t>
  </si>
  <si>
    <t>s039001</t>
  </si>
  <si>
    <t>Мідний кабельний наконечник e.end.stand.dt.10</t>
  </si>
  <si>
    <t>s039002</t>
  </si>
  <si>
    <t>Мідний кабельний наконечник e.end.stand.dt.16</t>
  </si>
  <si>
    <t>s039003</t>
  </si>
  <si>
    <t>Мідний кабельний наконечник e.end.stand.dt.25</t>
  </si>
  <si>
    <t>s039004</t>
  </si>
  <si>
    <t>Мідний кабельний наконечник e.end.stand.dt.35</t>
  </si>
  <si>
    <t>s039005</t>
  </si>
  <si>
    <t>Мідний кабельний наконечник e.end.stand.dt.50</t>
  </si>
  <si>
    <t>s039006</t>
  </si>
  <si>
    <t>Мідний кабельний наконечник e.end.stand.dt.70</t>
  </si>
  <si>
    <t>s039007</t>
  </si>
  <si>
    <t>Мідний кабельний наконечник e.end.stand.dt.95</t>
  </si>
  <si>
    <t>s039008</t>
  </si>
  <si>
    <t>Мідний кабельний наконечник e.end.stand.dt.120</t>
  </si>
  <si>
    <t>s039009</t>
  </si>
  <si>
    <t>Мідний кабельний наконечник e.end.stand.dt.150</t>
  </si>
  <si>
    <t>s039010</t>
  </si>
  <si>
    <t>Мідний кабельний наконечник e.end.stand.dt.185</t>
  </si>
  <si>
    <t>s039011</t>
  </si>
  <si>
    <t>Мідний кабельний наконечник e.end.stand.dt.240</t>
  </si>
  <si>
    <t>4а.Наконечники кабельні мідні під опресовування серії DT.B серії STAND</t>
  </si>
  <si>
    <t>s060001</t>
  </si>
  <si>
    <t>Мідний кабельний наконечник e.end.stand.dt.b10</t>
  </si>
  <si>
    <t>s060002</t>
  </si>
  <si>
    <t>Мідний кабельний наконечник e.end.stand.dt.b16</t>
  </si>
  <si>
    <t>s060003</t>
  </si>
  <si>
    <t>Мідний кабельний наконечник e.end.stand.dt.b25</t>
  </si>
  <si>
    <t>s060004</t>
  </si>
  <si>
    <t>Мідний кабельний наконечник e.end.stand.dt.b35</t>
  </si>
  <si>
    <t>s060005</t>
  </si>
  <si>
    <t>Мідний кабельний наконечник e.end.stand.dt.b50</t>
  </si>
  <si>
    <t>s060006</t>
  </si>
  <si>
    <t>Мідний кабельний наконечник e.end.stand.dt.b70</t>
  </si>
  <si>
    <t>s060007</t>
  </si>
  <si>
    <t>Мідний кабельний наконечник e.end.stand.dt.b95</t>
  </si>
  <si>
    <t>s060008</t>
  </si>
  <si>
    <t>Мідний кабельний наконечник e.end.stand.dt.b120</t>
  </si>
  <si>
    <t>s060009</t>
  </si>
  <si>
    <t>Мідний кабельний наконечник e.end.stand.dt.b150</t>
  </si>
  <si>
    <t>s060010</t>
  </si>
  <si>
    <t>Мідний кабельний наконечник e.end.stand.dt.b185</t>
  </si>
  <si>
    <t>s060011</t>
  </si>
  <si>
    <t>Мідний кабельний наконечник e.end.stand.dt.b240</t>
  </si>
  <si>
    <t>5.Наконечники кабельні оцинковані під опресовування Z серії STAND</t>
  </si>
  <si>
    <t>s021001</t>
  </si>
  <si>
    <t>Оцинкований кабельний наконечник e.end.stand.z.10</t>
  </si>
  <si>
    <t>s021002</t>
  </si>
  <si>
    <t>Оцинкований кабельний наконечник e.end.stand.z.16</t>
  </si>
  <si>
    <t>s021003</t>
  </si>
  <si>
    <t>Оцинкований кабельний наконечник e.end.stand.z.25</t>
  </si>
  <si>
    <t>s021004</t>
  </si>
  <si>
    <t>Оцинкований кабельний наконечник e.end.stand.z.35</t>
  </si>
  <si>
    <t>s021005</t>
  </si>
  <si>
    <t>Оцинкований кабельний наконечник e.end.stand.z.50</t>
  </si>
  <si>
    <t>s021006</t>
  </si>
  <si>
    <t>Оцинкований кабельний наконечник e.end.stand.z.70</t>
  </si>
  <si>
    <t>s021007</t>
  </si>
  <si>
    <t>Оцинкований кабельний наконечник e.end.stand.z.95</t>
  </si>
  <si>
    <t>s021008</t>
  </si>
  <si>
    <t>Оцинкований кабельний наконечник e.end.stand.z.120</t>
  </si>
  <si>
    <t>s021009</t>
  </si>
  <si>
    <t>Оцинкований кабельний наконечник e.end.stand.z.150</t>
  </si>
  <si>
    <t>s021010</t>
  </si>
  <si>
    <t>Оцинкований кабельний наконечник e.end.stand.z.185</t>
  </si>
  <si>
    <t>s021011</t>
  </si>
  <si>
    <t>Оцинкований кабельний наконечник e.end.stand.z.240</t>
  </si>
  <si>
    <t>6.Наконечники кабельні мідно-алюмінієві під опресовування DTL серії STAND</t>
  </si>
  <si>
    <t>s038001</t>
  </si>
  <si>
    <t>Мідно-алюмінієвий  кабельний наконечник e.end.stand.ca.dtl.1.10</t>
  </si>
  <si>
    <t>s038002</t>
  </si>
  <si>
    <t>Мідно-алюмінієвий  кабельний наконечник e.end.stand.ca.dtl.1.16</t>
  </si>
  <si>
    <t>s038003</t>
  </si>
  <si>
    <t>Мідно-алюмінієвий  кабельний наконечник e.end.stand.ca.dtl.1.25</t>
  </si>
  <si>
    <t>s038004</t>
  </si>
  <si>
    <t>Мідно-алюмінієвий  кабельний наконечник e.end.stand.ca.dtl.1.35</t>
  </si>
  <si>
    <t>s038005</t>
  </si>
  <si>
    <t>Мідно-алюмінієвий  кабельний наконечник e.end.stand.ca.dtl.1.50</t>
  </si>
  <si>
    <t>s038006</t>
  </si>
  <si>
    <t>Мідно-алюмінієвий  кабельний наконечник e.end.stand.ca.dtl.1.70</t>
  </si>
  <si>
    <t>s038007</t>
  </si>
  <si>
    <t>Мідно-алюмінієвий  кабельний наконечник e.end.stand.ca.dtl.1.95</t>
  </si>
  <si>
    <t>s038008</t>
  </si>
  <si>
    <t>Мідно-алюмінієвий  кабельний наконечник e.end.stand.ca.dtl.1.120</t>
  </si>
  <si>
    <t>s038009</t>
  </si>
  <si>
    <t>Мідно-алюмінієвий  кабельний наконечник e.end.stand.ca.dtl.1.150</t>
  </si>
  <si>
    <t>s038010</t>
  </si>
  <si>
    <t>Мідно-алюмінієвий  кабельний наконечник e.end.stand.ca.dtl.1.185</t>
  </si>
  <si>
    <t>s038011</t>
  </si>
  <si>
    <t>Мідно-алюмінієвий  кабельний наконечник e.end.stand.ca.dtl.1.240</t>
  </si>
  <si>
    <t>7.Гільзи кабельні луджені з'єднувальні під опресовування GTY серії STAND</t>
  </si>
  <si>
    <t>s041001</t>
  </si>
  <si>
    <t>Гільза мідна луджена кабельна з'єднувальна e.tube.stand.gty.1.5</t>
  </si>
  <si>
    <t>s041002</t>
  </si>
  <si>
    <t>Гільза мідна луджена кабельна з'єднувальна e.tube.stand.gty.2.5</t>
  </si>
  <si>
    <t>s041003</t>
  </si>
  <si>
    <t>Гільза мідна луджена кабельна з'єднувальна e.tube.stand.gty.4</t>
  </si>
  <si>
    <t>s041004</t>
  </si>
  <si>
    <t>Гільза мідна луджена кабельна з'єднувальна e.tube.stand.gty.6</t>
  </si>
  <si>
    <t>s041005</t>
  </si>
  <si>
    <t>Гільза мідна луджена кабельна з'єднувальна e.tube.stand.gty.10</t>
  </si>
  <si>
    <t>s041006</t>
  </si>
  <si>
    <t>Гільза мідна луджена кабельна з'єднувальна e.tube.stand.gty.16</t>
  </si>
  <si>
    <t>s041007</t>
  </si>
  <si>
    <t>Гільза мідна луджена кабельна з'єднувальна e.tube.stand.gty.25</t>
  </si>
  <si>
    <t>s041008</t>
  </si>
  <si>
    <t>Гільза мідна луджена кабельна з'єднувальна e.tube.stand.gty.35</t>
  </si>
  <si>
    <t>s041009</t>
  </si>
  <si>
    <t>Гільза мідна луджена кабельна з'єднувальна e.tube.stand.gty.50</t>
  </si>
  <si>
    <t>s041010</t>
  </si>
  <si>
    <t>Гільза мідна луджена кабельна з'єднувальна e.tube.stand.gty.70</t>
  </si>
  <si>
    <t>s041011</t>
  </si>
  <si>
    <t>Гільза мідна луджена кабельна з'єднувальна e.tube.stand.gty.95</t>
  </si>
  <si>
    <t>s041012</t>
  </si>
  <si>
    <t>Гільза мідна луджена кабельна з'єднувальна e.tube.stand.gty.120</t>
  </si>
  <si>
    <t>s041013</t>
  </si>
  <si>
    <t>Гільза мідна луджена кабельна з'єднувальна e.tube.stand.gty.150</t>
  </si>
  <si>
    <t>s041014</t>
  </si>
  <si>
    <t>Гільза мідна луджена кабельна з'єднувальна e.tube.stand.gty.185</t>
  </si>
  <si>
    <t>s041015</t>
  </si>
  <si>
    <t>Гільза мідна луджена кабельна з'єднувальна e.tube.stand.gty.240</t>
  </si>
  <si>
    <t>8.Наконечники кабельні луджені на гвинтах CLAMP серії STAND</t>
  </si>
  <si>
    <t>s0170001</t>
  </si>
  <si>
    <t>Наконечник кабельний e.end.stand.clamp.16.25 на гвинтах</t>
  </si>
  <si>
    <t>s0170002</t>
  </si>
  <si>
    <t>Наконечник кабельний e.end.stand.clamp.25.35 на гвинтах</t>
  </si>
  <si>
    <t>s0170003</t>
  </si>
  <si>
    <t>Наконечник кабельний e.end.stand.clamp.50.70 на гвинтах</t>
  </si>
  <si>
    <t>s0170004</t>
  </si>
  <si>
    <t>Наконечник кабельний e.end.stand.clamp.70.95 на гвинтах</t>
  </si>
  <si>
    <t>s0170005</t>
  </si>
  <si>
    <t>Наконечник кабельний e.end.stand.clamp.120.150 на гвинтах</t>
  </si>
  <si>
    <t>s0170007</t>
  </si>
  <si>
    <t>Наконечник кабельний e.end.stand.clamp.150.185 на гвинтах</t>
  </si>
  <si>
    <t>s0170008</t>
  </si>
  <si>
    <t>Наконечник кабельний e.end.stand.clamp.185.240 на гвинтах</t>
  </si>
  <si>
    <t>s0170006</t>
  </si>
  <si>
    <t>Наконечник кабельний e.end.stand.clamp.210.250 на гвинтах</t>
  </si>
  <si>
    <t>9.Наконечники кабельні ізольовані</t>
  </si>
  <si>
    <t>1.Наконечники кабельні кільцеві ізольовані RV серії STAND</t>
  </si>
  <si>
    <t>s1036003</t>
  </si>
  <si>
    <t>Ізольований наконечник e.terminal.stand.rv1.1,25.4.black 0.5-1.5 кв.мм, чорний</t>
  </si>
  <si>
    <t>s1036004</t>
  </si>
  <si>
    <t>Ізольований наконечник e.terminal.stand.rv1.1,25.4.blue 0.5-1.5 кв.мм, синій</t>
  </si>
  <si>
    <t>s1036005</t>
  </si>
  <si>
    <t>Ізольований наконечник e.terminal.stand.rv1.1,25.4.green 0.5-1.5 кв.мм, зелений</t>
  </si>
  <si>
    <t>s1036006</t>
  </si>
  <si>
    <t>Ізольований наконечник e.terminal.stand.rv1.1,25.4.grey 0.5-1.5 кв.мм, сірий</t>
  </si>
  <si>
    <t>s1036007</t>
  </si>
  <si>
    <t>Ізольований наконечник e.terminal.stand.rv1.1,25.4.orang 0.5-1.5 кв.мм, помаранчевий</t>
  </si>
  <si>
    <t>s1036001</t>
  </si>
  <si>
    <t>Ізольований наконечник e.terminal.stand.rv1.1,25.4.red 0.5-1.5 кв.мм, червоний</t>
  </si>
  <si>
    <t>s1036002</t>
  </si>
  <si>
    <t>Ізольований наконечник e.terminal.stand.rv1.1,25.4.yellow 0.5-1.5 кв.мм, жовтий</t>
  </si>
  <si>
    <t>s1036010</t>
  </si>
  <si>
    <t>Ізольований наконечник e.terminal.stand.rv1.1,25.6.black 0.5-1.5 кв.мм, чорний</t>
  </si>
  <si>
    <t>s1036011</t>
  </si>
  <si>
    <t>Ізольований наконечник e.terminal.stand.rv1.1,25.6.blue 0.5-1.5 кв.мм, синій</t>
  </si>
  <si>
    <t>s1036012</t>
  </si>
  <si>
    <t>Ізольований наконечник e.terminal.stand.rv1.1,25.6.green 0.5-1.5 кв.мм, зелений</t>
  </si>
  <si>
    <t>s1036013</t>
  </si>
  <si>
    <t>Ізольований наконечник e.terminal.stand.rv1.1,25.6.grey 0.5-1.5 кв.мм, сірий</t>
  </si>
  <si>
    <t>s1036014</t>
  </si>
  <si>
    <t>Ізольований наконечник e.terminal.stand.rv1.1,25.6.orang 0.5-1.5 кв.мм, помаранчевий</t>
  </si>
  <si>
    <t>s1036008</t>
  </si>
  <si>
    <t>Ізольований наконечник e.terminal.stand.rv1.1,25.6.red 0.5-1.5 кв.мм, червоний</t>
  </si>
  <si>
    <t>s1036009</t>
  </si>
  <si>
    <t>Ізольований наконечник e.terminal.stand.rv1.1,25.6.yellow 0.5-1.5 кв.мм, жовтий</t>
  </si>
  <si>
    <t>s1036017</t>
  </si>
  <si>
    <t>Ізольований наконечник e.terminal.stand.rv1.1,25.8.black 0.5-1.5 кв.мм, чорний</t>
  </si>
  <si>
    <t>s1036018</t>
  </si>
  <si>
    <t>Ізольований наконечник e.terminal.stand.rv1.1,25.8.blue 0.5-1.5 кв.мм, синій</t>
  </si>
  <si>
    <t>s1036019</t>
  </si>
  <si>
    <t>Ізольований наконечник e.terminal.stand.rv1.1,25.8.green 0.5-1.5 кв.мм, зелений</t>
  </si>
  <si>
    <t>s1036020</t>
  </si>
  <si>
    <t>Ізольований наконечник e.terminal.stand.rv1.1,25.8.grey 0.5-1.5 кв.мм, сірий</t>
  </si>
  <si>
    <t>s1036021</t>
  </si>
  <si>
    <t>Ізольований наконечник e.terminal.stand.rv1.1,25.8.orang 0.5-1.5 кв.мм, помаранчевий</t>
  </si>
  <si>
    <t>s1036015</t>
  </si>
  <si>
    <t>Ізольований наконечник e.terminal.stand.rv1.1,25.8.red 0.5-1.5 кв.мм, червоний</t>
  </si>
  <si>
    <t>s1036016</t>
  </si>
  <si>
    <t>Ізольований наконечник e.terminal.stand.rv1.1,25.8.yellow 0.5-1.5 кв.мм, жовтий</t>
  </si>
  <si>
    <t>s1036024</t>
  </si>
  <si>
    <t>Ізольований наконечник e.terminal.stand.rv2.2.5.black 1.5-2.5 кв.мм, чорний</t>
  </si>
  <si>
    <t>s1036025</t>
  </si>
  <si>
    <t>Ізольований наконечник e.terminal.stand.rv2.2.5.blue 1.5-2.5 кв.мм, синій</t>
  </si>
  <si>
    <t>s1036026</t>
  </si>
  <si>
    <t>Ізольований наконечник e.terminal.stand.rv2.2.5.green 1.5-2.5 кв.мм, зелений</t>
  </si>
  <si>
    <t>s1036027</t>
  </si>
  <si>
    <t>Ізольований наконечник e.terminal.stand.rv2.2.5.grey 1.5-2.5 кв.мм, сірий</t>
  </si>
  <si>
    <t>s1036028</t>
  </si>
  <si>
    <t>Ізольований наконечник e.terminal.stand.rv2.2.5.orange 1.5-2.5 кв.мм, помаранчевий</t>
  </si>
  <si>
    <t>s1036022</t>
  </si>
  <si>
    <t>Ізольований наконечник e.terminal.stand.rv2.2.5.red 1.5-2.5 кв.мм, червоний</t>
  </si>
  <si>
    <t>s1036023</t>
  </si>
  <si>
    <t>Ізольований наконечник e.terminal.stand.rv2.2.5.yellow 1.5-2.5 кв.мм, жовтий</t>
  </si>
  <si>
    <t>s1036031</t>
  </si>
  <si>
    <t>Ізольований наконечник e.terminal.stand.rv2.2.6.black 1.5-2.5 кв.мм, чорний</t>
  </si>
  <si>
    <t>s1036032</t>
  </si>
  <si>
    <t>Ізольований наконечник e.terminal.stand.rv2.2.6.blue 1.5-2.5 кв.мм, синій</t>
  </si>
  <si>
    <t>s1036033</t>
  </si>
  <si>
    <t>Ізольований наконечник e.terminal.stand.rv2.2.6.green 1.5-2.5 кв.мм, зелений</t>
  </si>
  <si>
    <t>s1036034</t>
  </si>
  <si>
    <t>Ізольований наконечник e.terminal.stand.rv2.2.6.grey 1.5-2.5 кв.мм, сірий</t>
  </si>
  <si>
    <t>s1036035</t>
  </si>
  <si>
    <t>Ізольований наконечник e.terminal.stand.rv2.2.6.orange 1.5-2.5 кв.мм, помаранчевий</t>
  </si>
  <si>
    <t>s1036029</t>
  </si>
  <si>
    <t>Ізольований наконечник e.terminal.stand.rv2.2.6.red 1.5-2.5 кв.мм, червоний</t>
  </si>
  <si>
    <t>s1036030</t>
  </si>
  <si>
    <t>Ізольований наконечник e.terminal.stand.rv2.2.6.yellow 1.5-2.5 кв.мм, жовтий</t>
  </si>
  <si>
    <t>s1036038</t>
  </si>
  <si>
    <t>Ізольований наконечник e.terminal.stand.rv2.2.8.black 1.5-2.5 кв.мм, чорний</t>
  </si>
  <si>
    <t>s1036039</t>
  </si>
  <si>
    <t>Ізольований наконечник e.terminal.stand.rv2.2.8.blue 1.5-2.5 кв.мм, синій</t>
  </si>
  <si>
    <t>s1036040</t>
  </si>
  <si>
    <t>Ізольований наконечник e.terminal.stand.rv2.2.8.green 1.5-2.5 кв.мм, зелений</t>
  </si>
  <si>
    <t>s1036041</t>
  </si>
  <si>
    <t>Ізольований наконечник e.terminal.stand.rv2.2.8.grey 1.5-2.5 кв.мм, сірий</t>
  </si>
  <si>
    <t>s1036042</t>
  </si>
  <si>
    <t>Ізольований наконечник e.terminal.stand.rv2.2.8.orange 1.5-2.5 кв.мм, помаранчевий</t>
  </si>
  <si>
    <t>s1036036</t>
  </si>
  <si>
    <t>Ізольований наконечник e.terminal.stand.rv2.2.8.red 1.5-2.5 кв.мм, червоний</t>
  </si>
  <si>
    <t>s1036037</t>
  </si>
  <si>
    <t>Ізольований наконечник e.terminal.stand.rv2.2.8.yellow 1.5-2.5 кв.мм, жовтий</t>
  </si>
  <si>
    <t>s1036045</t>
  </si>
  <si>
    <t>Ізольований наконечник e.terminal.stand.rv3.3,5.5.black 2.5-4 кв.мм, чорний</t>
  </si>
  <si>
    <t>s1036046</t>
  </si>
  <si>
    <t>Ізольований наконечник e.terminal.stand.rv3.3,5.5.blue 2.5-4 кв.мм, синій</t>
  </si>
  <si>
    <t>s1036047</t>
  </si>
  <si>
    <t>Ізольований наконечник e.terminal.stand.rv3.3,5.5.green 2.5-4 кв.мм, зелений</t>
  </si>
  <si>
    <t>s1036048</t>
  </si>
  <si>
    <t>Ізольований наконечник e.terminal.stand.rv3.3,5.5.grey 2.5-4 кв.мм, сірий</t>
  </si>
  <si>
    <t>s1036049</t>
  </si>
  <si>
    <t>Ізольований наконечник e.terminal.stand.rv3.3,5.5.orange 2.5-4 кв.мм, помаранчевий</t>
  </si>
  <si>
    <t>s1036043</t>
  </si>
  <si>
    <t>Ізольований наконечник e.terminal.stand.rv3.3,5.5.red 2.5-4 кв.мм, червоний</t>
  </si>
  <si>
    <t>s1036044</t>
  </si>
  <si>
    <t>Ізольований наконечник e.terminal.stand.rv3.3,5.5.yellow 2.5-4 кв.мм, жовтий</t>
  </si>
  <si>
    <t>s1036052</t>
  </si>
  <si>
    <t>Ізольований наконечник e.terminal.stand.rv3.3,5.6.black 2.5-4 кв.мм, чорний</t>
  </si>
  <si>
    <t>s1036053</t>
  </si>
  <si>
    <t>Ізольований наконечник e.terminal.stand.rv3.3,5.6.blue 2.5-4 кв.мм, синій</t>
  </si>
  <si>
    <t>s1036054</t>
  </si>
  <si>
    <t>Ізольований наконечник e.terminal.stand.rv3.3,5.6.green 2.5-4 кв.мм, зелений</t>
  </si>
  <si>
    <t>s1036055</t>
  </si>
  <si>
    <t>Ізольований наконечник e.terminal.stand.rv3.3,5.6.grey 2.5-4 кв.мм, сірий</t>
  </si>
  <si>
    <t>s1036056</t>
  </si>
  <si>
    <t>Ізольований наконечник e.terminal.stand.rv3.3,5.6.orange 2.5-4 кв.мм, помаранчевий</t>
  </si>
  <si>
    <t>s1036050</t>
  </si>
  <si>
    <t>Ізольований наконечник e.terminal.stand.rv3.3,5.6.red 2.5-4 кв.мм, червоний</t>
  </si>
  <si>
    <t>s1036051</t>
  </si>
  <si>
    <t>Ізольований наконечник e.terminal.stand.rv3.3,5.6.yellow 2.5-4 кв.мм, жовтий</t>
  </si>
  <si>
    <t>s036004</t>
  </si>
  <si>
    <t>Ізольований наконечник e.terminal.stand.RV5.5.6 4-6.yellow кв.мм, жовтий</t>
  </si>
  <si>
    <t>s1036062</t>
  </si>
  <si>
    <t>Ізольований наконечник e.terminal.stand.RVL1.1,25.4.red 0.5-1.5 кв.мм, червоний</t>
  </si>
  <si>
    <t>s1036057</t>
  </si>
  <si>
    <t>Ізольований наконечник e.terminal.stand.RVL1.1,25.5.red 0.5-1.5 кв.мм, червоний</t>
  </si>
  <si>
    <t>s1036058</t>
  </si>
  <si>
    <t>Ізольований наконечник e.terminal.stand.rvs.2.5.blue 1.5-2.5 кв.мм, синій</t>
  </si>
  <si>
    <t>2.Наконечники кабельні вилкові ізольовані SV серії STAND</t>
  </si>
  <si>
    <t>s2036003</t>
  </si>
  <si>
    <t>Ізольований наконечник вилковий e.terminal.stand.sv.1,25.3,2.black 0.5-1.5 кв.мм, чорний</t>
  </si>
  <si>
    <t>s2036004</t>
  </si>
  <si>
    <t>Ізольований наконечник вилковий e.terminal.stand.sv.1,25.3,2.blue 0.5-1.5 кв.мм, синій</t>
  </si>
  <si>
    <t>s2036005</t>
  </si>
  <si>
    <t>Ізольований наконечник вилковий e.terminal.stand.sv.1,25.3,2.green 0.5-1.5 кв.мм, зелений</t>
  </si>
  <si>
    <t>s2036006</t>
  </si>
  <si>
    <t>Ізольований наконечник вилковий e.terminal.stand.sv.1,25.3,2.grey 0.5-1.5 кв.мм, сірий</t>
  </si>
  <si>
    <t>s2036007</t>
  </si>
  <si>
    <t>Ізольований наконечник вилковий e.terminal.stand.sv.1,25.3,2.orange 0.5-1.5 кв.мм, помаранчевий</t>
  </si>
  <si>
    <t>s2036001</t>
  </si>
  <si>
    <t>Ізольований наконечник вилковий e.terminal.stand.sv.1,25.3,2.red 0.5-1.5 кв.мм, червоний</t>
  </si>
  <si>
    <t>s2036002</t>
  </si>
  <si>
    <t>Ізольований наконечник вилковий e.terminal.stand.sv.1,25.3,2.yellow 0.5-1.5 кв.мм, жовтий</t>
  </si>
  <si>
    <t>s2036010</t>
  </si>
  <si>
    <t>Ізольований наконечник вилковий e.terminal.stand.sv.1,25.5.black 0.5-1.5 кв.мм, чорний</t>
  </si>
  <si>
    <t>s2036011</t>
  </si>
  <si>
    <t>Ізольований наконечник вилковий e.terminal.stand.sv.1,25.5.blue 0.5-1.5 кв.мм, синій</t>
  </si>
  <si>
    <t>s2036012</t>
  </si>
  <si>
    <t>Ізольований наконечник вилковий e.terminal.stand.sv.1,25.5.green 0.5-1.5 кв.мм, зелений</t>
  </si>
  <si>
    <t>s2036013</t>
  </si>
  <si>
    <t>Ізольований наконечник вилковий e.terminal.stand.sv.1,25.5.grey 0.5-1.5 кв.мм, сірий</t>
  </si>
  <si>
    <t>s2036014</t>
  </si>
  <si>
    <t>Ізольований наконечник вилковий e.terminal.stand.sv.1,25.5.orange 0.5-1.5 кв.мм, помаранчевий</t>
  </si>
  <si>
    <t>s2036008</t>
  </si>
  <si>
    <t>Ізольований наконечник вилковий e.terminal.stand.sv.1,25.5.red 0.5-1.5 кв.мм, червоний</t>
  </si>
  <si>
    <t>s2036009</t>
  </si>
  <si>
    <t>Ізольований наконечник вилковий e.terminal.stand.sv.1,25.5.yellow 0.5-1.5 кв.мм, жовтий</t>
  </si>
  <si>
    <t>s2036017</t>
  </si>
  <si>
    <t>Ізольований наконечник вилковий e.terminal.stand.sv.2.3,2.black 1.5-2.5 кв.мм, чорний</t>
  </si>
  <si>
    <t>s2036018</t>
  </si>
  <si>
    <t>Ізольований наконечник вилковий e.terminal.stand.sv.2.3,2.blue 1.5-2.5 кв.мм, синій</t>
  </si>
  <si>
    <t>s2036019</t>
  </si>
  <si>
    <t>Ізольований наконечник вилковий e.terminal.stand.sv.2.3,2.green 1.5-2.5 кв.мм, зелений</t>
  </si>
  <si>
    <t>s2036020</t>
  </si>
  <si>
    <t>Ізольований наконечник вилковий e.terminal.stand.sv.2.3,2.grey 1.5-2.5 кв.мм, сірий</t>
  </si>
  <si>
    <t>s2036021</t>
  </si>
  <si>
    <t>Ізольований наконечник вилковий e.terminal.stand.sv.2.3,2.orange 1.5-2.5 кв.мм, помаранчевий</t>
  </si>
  <si>
    <t>s2036015</t>
  </si>
  <si>
    <t>Ізольований наконечник вилковий e.terminal.stand.sv.2.3,2.red 1.5-2.5 кв.мм, червоний</t>
  </si>
  <si>
    <t>s2036016</t>
  </si>
  <si>
    <t>Ізольований наконечник вилковий e.terminal.stand.sv.2.3,2.yellow 1.5-2.5 кв.мм, жовтий</t>
  </si>
  <si>
    <t>s2036024</t>
  </si>
  <si>
    <t>Ізольований наконечник вилковий e.terminal.stand.sv.2.5.black 1.5-2.5 кв.мм, чорний</t>
  </si>
  <si>
    <t>s2036025</t>
  </si>
  <si>
    <t>Ізольований наконечник вилковий e.terminal.stand.sv.2.5.blue 1.5-2.5 кв.мм, синій</t>
  </si>
  <si>
    <t>s2036026</t>
  </si>
  <si>
    <t>Ізольований наконечник вилковий e.terminal.stand.sv.2.5.green 1.5-2.5 кв.мм, зелений</t>
  </si>
  <si>
    <t>s2036027</t>
  </si>
  <si>
    <t>Ізольований наконечник вилковий e.terminal.stand.sv.2.5.grey 1.5-2.5 кв.мм, сірий</t>
  </si>
  <si>
    <t>s2036028</t>
  </si>
  <si>
    <t>Ізольований наконечник вилковий e.terminal.stand.sv.2.5.orange 1.5-2.5 кв.мм, помаранчевий</t>
  </si>
  <si>
    <t>s2036022</t>
  </si>
  <si>
    <t>Ізольований наконечник вилковий e.terminal.stand.sv.2.5.red 1.5-2.5 кв.мм, червоний</t>
  </si>
  <si>
    <t>s2036023</t>
  </si>
  <si>
    <t>Ізольований наконечник вилковий e.terminal.stand.sv.2.5.yellow 1.5-2.5 кв.мм, жовтий</t>
  </si>
  <si>
    <t>s2036031</t>
  </si>
  <si>
    <t>Ізольований наконечник вилковий e.terminal.stand.sv.3,5.4.black 2.5-4 кв.мм, чорний</t>
  </si>
  <si>
    <t>s2036032</t>
  </si>
  <si>
    <t>Ізольований наконечник вилковий e.terminal.stand.sv.3,5.4.blue 2.5-4 кв.мм, синій</t>
  </si>
  <si>
    <t>s2036033</t>
  </si>
  <si>
    <t>Ізольований наконечник вилковий e.terminal.stand.sv.3,5.4.green 2.5-4 кв.мм, зелений</t>
  </si>
  <si>
    <t>s2036034</t>
  </si>
  <si>
    <t>Ізольований наконечник вилковий e.terminal.stand.sv.3,5.4.grey 2.5-4 кв.мм, сірий</t>
  </si>
  <si>
    <t>s2036035</t>
  </si>
  <si>
    <t>Ізольований наконечник вилковий e.terminal.stand.sv.3,5.4.orange 2.5-4 кв.мм, помаранчевий</t>
  </si>
  <si>
    <t>s2036029</t>
  </si>
  <si>
    <t>Ізольований наконечник вилковий e.terminal.stand.sv.3,5.4.red 2.5-4 кв.мм, червоний</t>
  </si>
  <si>
    <t>s2036030</t>
  </si>
  <si>
    <t>Ізольований наконечник вилковий e.terminal.stand.sv.3,5.4.yellow 2.5-4 кв.мм, жовтий</t>
  </si>
  <si>
    <t>s2036045</t>
  </si>
  <si>
    <t>Ізольований наконечник вилковий e.terminal.stand.sv.5,5.6.black 4-6 кв.мм, чорний</t>
  </si>
  <si>
    <t>s2036046</t>
  </si>
  <si>
    <t>Ізольований наконечник вилковий e.terminal.stand.sv.5,5.6.blue 4-6 кв.мм, синій</t>
  </si>
  <si>
    <t>s2036047</t>
  </si>
  <si>
    <t>Ізольований наконечник вилковий e.terminal.stand.sv.5,5.6.green 4-6 кв.мм, зелений</t>
  </si>
  <si>
    <t>s2036048</t>
  </si>
  <si>
    <t>Ізольований наконечник вилковий e.terminal.stand.sv.5,5.6.grey 4-6 кв.мм, сірий</t>
  </si>
  <si>
    <t>s2036049</t>
  </si>
  <si>
    <t>Ізольований наконечник вилковий e.terminal.stand.sv.5,5.6.orange 4-6 кв.мм, помаранчевий</t>
  </si>
  <si>
    <t>s2036043</t>
  </si>
  <si>
    <t>Ізольований наконечник вилковий e.terminal.stand.sv.5,5.6.red 4-6 кв.мм, червоний</t>
  </si>
  <si>
    <t>s2036044</t>
  </si>
  <si>
    <t>Ізольований наконечник вилковий e.terminal.stand.sv.5,5.6.yellow 4-6 кв.мм, жовтий</t>
  </si>
  <si>
    <t>s2036052</t>
  </si>
  <si>
    <t>Ізольований наконечник вилковий e.terminal.stand.sv.5,5.8.black 4-6 кв.мм, чорний</t>
  </si>
  <si>
    <t>s2036053</t>
  </si>
  <si>
    <t>Ізольований наконечник вилковий e.terminal.stand.sv.5,5.8.blue 4-6 кв.мм, синій</t>
  </si>
  <si>
    <t>s2036054</t>
  </si>
  <si>
    <t>Ізольований наконечник вилковий e.terminal.stand.sv.5,5.8.green 4-6 кв.мм, зелений</t>
  </si>
  <si>
    <t>s2036055</t>
  </si>
  <si>
    <t>Ізольований наконечник вилковий e.terminal.stand.sv.5,5.8.grey 4-6 кв.мм, сірий</t>
  </si>
  <si>
    <t>s2036056</t>
  </si>
  <si>
    <t>Ізольований наконечник вилковий e.terminal.stand.sv.5,5.8.orange 4-6 кв.мм, помаранчевий</t>
  </si>
  <si>
    <t>s2036050</t>
  </si>
  <si>
    <t>Ізольований наконечник вилковий e.terminal.stand.sv.5,5.8.red 4-6 кв.мм, червоний</t>
  </si>
  <si>
    <t>s2036051</t>
  </si>
  <si>
    <t>Ізольований наконечник вилковий e.terminal.stand.sv.5,5.8.yellow 4-6 кв.мм, жовтий</t>
  </si>
  <si>
    <t>s2036038</t>
  </si>
  <si>
    <t>Ізольований наконечник вилковий e.terminal.stand.sv.5.4.black 4-6 кв.мм, чорний</t>
  </si>
  <si>
    <t>s2036039</t>
  </si>
  <si>
    <t>Ізольований наконечник вилковий e.terminal.stand.sv.5.4.blue 4-6 кв.мм, синій</t>
  </si>
  <si>
    <t>s2036040</t>
  </si>
  <si>
    <t>Ізольований наконечник вилковий e.terminal.stand.sv.5.4.green 4-6 кв.мм, зелений</t>
  </si>
  <si>
    <t>s2036041</t>
  </si>
  <si>
    <t>Ізольований наконечник вилковий e.terminal.stand.sv.5.4.grey 4-6 кв.мм, сірий</t>
  </si>
  <si>
    <t>s2036042</t>
  </si>
  <si>
    <t>Ізольований наконечник вилковий e.terminal.stand.sv.5.4.orange 4-6 кв.мм, помаранчевий</t>
  </si>
  <si>
    <t>s2036036</t>
  </si>
  <si>
    <t>Ізольований наконечник вилковий e.terminal.stand.sv.5.4.red 4-6 кв.мм, червоний</t>
  </si>
  <si>
    <t>s2036037</t>
  </si>
  <si>
    <t>Ізольований наконечник вилковий e.terminal.stand.sv.5.4.yellow 4-6 кв.мм, жовтий</t>
  </si>
  <si>
    <t>3.Наконечники кабельні втулочні ізольовані Е серії STAND</t>
  </si>
  <si>
    <t>s3036003</t>
  </si>
  <si>
    <t>Ізольований наконечник втулковий e.terminal.stand.e0508.black 0.5 кв.мм, чорний</t>
  </si>
  <si>
    <t>s3036004</t>
  </si>
  <si>
    <t>Ізольований наконечник втулковий e.terminal.stand.e0508.blue 0.5 кв.мм, синій</t>
  </si>
  <si>
    <t>s3036005</t>
  </si>
  <si>
    <t>Ізольований наконечник втулковий e.terminal.stand.e0508.green 0.5 кв.мм, зелений</t>
  </si>
  <si>
    <t>s3036006</t>
  </si>
  <si>
    <t>Ізольований наконечник втулковий e.terminal.stand.e0508.grey 0.5 кв.мм, сірий</t>
  </si>
  <si>
    <t>s3036007</t>
  </si>
  <si>
    <t>Ізольований наконечник втулковий e.terminal.stand.e0508.orange 0.5 кв.мм, помаранчевий</t>
  </si>
  <si>
    <t>s3036001</t>
  </si>
  <si>
    <t>Ізольований наконечник втулковий e.terminal.stand.e0508.red 0.5 кв.мм, червоний</t>
  </si>
  <si>
    <t>s036005</t>
  </si>
  <si>
    <t>Ізольований наконечник втулковий e.terminal.stand.е0508.yellow 0,5 кв.мм, штир 8мм</t>
  </si>
  <si>
    <t>s3036002</t>
  </si>
  <si>
    <t>Ізольований наконечник втулковий e.terminal.stand.e0508.yellow 0.5 кв.мм, жовтий</t>
  </si>
  <si>
    <t>s3036010</t>
  </si>
  <si>
    <t>Ізольований наконечник втулковий e.terminal.stand.e7508.black 0.75 кв.мм, чорний</t>
  </si>
  <si>
    <t>s3036011</t>
  </si>
  <si>
    <t>Ізольований наконечник втулковий e.terminal.stand.e7508.blue 0.75 кв.мм, синій</t>
  </si>
  <si>
    <t>s036006</t>
  </si>
  <si>
    <t>Ізольований наконечник втулковий e.terminal.stand.е7508.green 0,75 кв.мм, штир 8мм</t>
  </si>
  <si>
    <t>s3036013</t>
  </si>
  <si>
    <t>Ізольований наконечник втулковий e.terminal.stand.e7508.grey 0.75 кв.мм, сірий</t>
  </si>
  <si>
    <t>s3036014</t>
  </si>
  <si>
    <t>Ізольований наконечник втулковий e.terminal.stand.e7508.orange 0.75 кв.мм, помаранчевий</t>
  </si>
  <si>
    <t>s3036008</t>
  </si>
  <si>
    <t>Ізольований наконечник втулковий e.terminal.stand.e7508.red 0.75 кв.мм, червоний</t>
  </si>
  <si>
    <t>s3036009</t>
  </si>
  <si>
    <t>Ізольований наконечник втулковий e.terminal.stand.e7508.yellow 0.75 кв.мм, жовтий</t>
  </si>
  <si>
    <t>s3036017</t>
  </si>
  <si>
    <t>Ізольований наконечник втулковий e.terminal.stand.e1008.black 1,0 кв.мм, чорний</t>
  </si>
  <si>
    <t>s3036018</t>
  </si>
  <si>
    <t>Ізольований наконечник втулковий e.terminal.stand.e1008.blue 1,0 кв.мм, синій</t>
  </si>
  <si>
    <t>s3036019</t>
  </si>
  <si>
    <t>Ізольований наконечник втулковий e.terminal.stand.e1008.green 1,0 кв.мм, зелений</t>
  </si>
  <si>
    <t>s3036020</t>
  </si>
  <si>
    <t>Ізольований наконечник втулковий e.terminal.stand.e1008.grey 1,0 кв.мм, сірий</t>
  </si>
  <si>
    <t>s3036021</t>
  </si>
  <si>
    <t>Ізольований наконечник втулковий e.terminal.stand.e1008.orange 1,0 кв.мм, помаранчевий</t>
  </si>
  <si>
    <t>s3036015</t>
  </si>
  <si>
    <t>Ізольований наконечник втулковий e.terminal.stand.e1008.red 1,0 кв.мм, червоний</t>
  </si>
  <si>
    <t>s3036016</t>
  </si>
  <si>
    <t>Ізольований наконечник втулковий e.terminal.stand.e1008.yellow 1,0 кв.мм, жовтий</t>
  </si>
  <si>
    <t>s3036050</t>
  </si>
  <si>
    <t>Ізольований наконечник втулковий e.terminal.stand.e1012.green 1,0 кв.мм, зелений</t>
  </si>
  <si>
    <t>s3036024</t>
  </si>
  <si>
    <t>Ізольований наконечник втулковий e.terminal.stand.e1508.black 1,5 кв.мм, чорний</t>
  </si>
  <si>
    <t>s3036025</t>
  </si>
  <si>
    <t>Ізольований наконечник втулковий e.terminal.stand.e1508.blue 1,5 кв.мм, синій</t>
  </si>
  <si>
    <t>s3036026</t>
  </si>
  <si>
    <t>Ізольований наконечник втулковий e.terminal.stand.e1508.green 1,5 кв.мм, зелений</t>
  </si>
  <si>
    <t>s3036027</t>
  </si>
  <si>
    <t>Ізольований наконечник втулковий e.terminal.stand.e1508.grey 1,5 кв.мм, сірий</t>
  </si>
  <si>
    <t>s3036028</t>
  </si>
  <si>
    <t>Ізольований наконечник втулковий e.terminal.stand.e1508.orange 1,5 кв.мм, помаранчевий</t>
  </si>
  <si>
    <t>s3036022</t>
  </si>
  <si>
    <t>Ізольований наконечник втулковий e.terminal.stand.e1508.red 1,5 кв.мм, червоний</t>
  </si>
  <si>
    <t>s3036023</t>
  </si>
  <si>
    <t>Ізольований наконечник втулковий e.terminal.stand.e1508.yellow 1,5 кв.мм, жовтий</t>
  </si>
  <si>
    <t>s3036031</t>
  </si>
  <si>
    <t>Ізольований наконечник втулковий e.terminal.stand.e2508.black 2,5 кв.мм, чорний</t>
  </si>
  <si>
    <t>s3036032</t>
  </si>
  <si>
    <t>Ізольований наконечник втулковий e.terminal.stand.e2508.blue 2,5 кв.мм, синій</t>
  </si>
  <si>
    <t>s3036033</t>
  </si>
  <si>
    <t>Ізольований наконечник втулковий e.terminal.stand.e2508.green 2,5 кв.мм, зелений</t>
  </si>
  <si>
    <t>s3036034</t>
  </si>
  <si>
    <t>Ізольований наконечник втулковий e.terminal.stand.e2508.grey 2,5 кв.мм, сірий</t>
  </si>
  <si>
    <t>s3036035</t>
  </si>
  <si>
    <t>Ізольований наконечник втулковий e.terminal.stand.e2508.orange 2,5 кв.мм, помаранчевий</t>
  </si>
  <si>
    <t>s3036029</t>
  </si>
  <si>
    <t>Ізольований наконечник втулковий e.terminal.stand.e2508.red 2,5 кв.мм, червоний</t>
  </si>
  <si>
    <t>s3036030</t>
  </si>
  <si>
    <t>Ізольований наконечник втулковий e.terminal.stand.e2508.yellow 2,5 кв.мм, жовтий</t>
  </si>
  <si>
    <t>s3036038</t>
  </si>
  <si>
    <t>Ізольований наконечник втулковий e.terminal.stand.e4009.black 4,0 кв.мм, чорний</t>
  </si>
  <si>
    <t>s3036039</t>
  </si>
  <si>
    <t>Ізольований наконечник втулковий e.terminal.stand.e4009.blue 4,0 кв.мм, синій</t>
  </si>
  <si>
    <t>s3036040</t>
  </si>
  <si>
    <t>Ізольований наконечник втулковий e.terminal.stand.e4009.green 4,0 кв.мм, зелений</t>
  </si>
  <si>
    <t>s036010</t>
  </si>
  <si>
    <t>Ізольований наконечник втулковий e.terminal.stand.е4009.grey 4.0 кв.мм, штир 9мм</t>
  </si>
  <si>
    <t>s3036042</t>
  </si>
  <si>
    <t>Ізольований наконечник втулковий e.terminal.stand.e4009.orange 4,0 кв.мм, помаранчевий</t>
  </si>
  <si>
    <t>s3036036</t>
  </si>
  <si>
    <t>Ізольований наконечник втулковий e.terminal.stand.e4009.red 4,0 кв.мм, червоний</t>
  </si>
  <si>
    <t>s3036037</t>
  </si>
  <si>
    <t>Ізольований наконечник втулковий e.terminal.stand.e4009.yellow 4,0 кв.мм, жовтий</t>
  </si>
  <si>
    <t>s3036053</t>
  </si>
  <si>
    <t>Ізольований наконечник втулковий e.terminal.stand.e6012.blue 6,0 кв.мм, синій</t>
  </si>
  <si>
    <t>s3036052</t>
  </si>
  <si>
    <t>Ізольований наконечник втулковий e.terminal.stand.e6012.red 6,0 кв.мм, червоний</t>
  </si>
  <si>
    <t>s3036045</t>
  </si>
  <si>
    <t>Ізольований наконечник втулковий e.terminal.stand.e10-12.black 10,0 кв.мм, чорний</t>
  </si>
  <si>
    <t>s3036046</t>
  </si>
  <si>
    <t>Ізольований наконечник втулковий e.terminal.stand.e10-12.blue 10,0 кв.мм, синій</t>
  </si>
  <si>
    <t>s3036051</t>
  </si>
  <si>
    <t>Ізольований наконечник втулковий e.terminal.stand.e10-12.brown 10,0 кв.мм, коричневий</t>
  </si>
  <si>
    <t>s3036047</t>
  </si>
  <si>
    <t>Ізольований наконечник втулковий e.terminal.stand.e10-12.green 10,0 кв.мм, зелений</t>
  </si>
  <si>
    <t>s3036048</t>
  </si>
  <si>
    <t>Ізольований наконечник втулковий e.terminal.stand.e10-12.grey 10,0 кв.мм, сірий</t>
  </si>
  <si>
    <t>s036011</t>
  </si>
  <si>
    <t>Ізольований наконечник втулковий e.terminal.stand.е1012.orange 10.0 кв.мм, штир 12мм</t>
  </si>
  <si>
    <t>s3036049</t>
  </si>
  <si>
    <t>Ізольований наконечник втулковий e.terminal.stand.e10-12.orange 10,0 кв.мм, помаранчевий</t>
  </si>
  <si>
    <t>s3036043</t>
  </si>
  <si>
    <t>Ізольований наконечник втулковий e.terminal.stand.e10-12.red 10,0 кв.мм, червоний</t>
  </si>
  <si>
    <t>s3036044</t>
  </si>
  <si>
    <t>Ізольований наконечник втулковий e.terminal.stand.e10-12.yellow 10,0 кв.мм, жовтий</t>
  </si>
  <si>
    <t>s3036054</t>
  </si>
  <si>
    <t>Ізольований наконечник втулковий e.terminal.stand.e16-12.green 16,0 кв.мм, зелений</t>
  </si>
  <si>
    <t>s3036055</t>
  </si>
  <si>
    <t>Ізольований наконечник втулковий e.terminal.stand.e25-16.green 25,0 кв.мм, зелений</t>
  </si>
  <si>
    <t>s3036056</t>
  </si>
  <si>
    <t>Ізольований наконечник втулковий e.terminal.stand.e35-16.grey 35,0 кв.мм, сірий</t>
  </si>
  <si>
    <t>s3036057</t>
  </si>
  <si>
    <t>Ізольований наконечник втулковий e.terminal.stand.e50-20.green 50,0 кв.мм, зелений</t>
  </si>
  <si>
    <t>4.Гільзи з'єднувальні ізольовані BV и RVT серії STAND</t>
  </si>
  <si>
    <t>s4036003</t>
  </si>
  <si>
    <t>Гільза з'єднувальна ізольована  e.splice.stand.bv.1.black 0,5-1,5 кв.мм, чорна</t>
  </si>
  <si>
    <t>s4036004</t>
  </si>
  <si>
    <t>Гільза з'єднувальна ізольована  e.splice.stand.bv.1.blue 0,5-1,5 кв.мм, синя</t>
  </si>
  <si>
    <t>s4036005</t>
  </si>
  <si>
    <t>Гільза з'єднувальна ізольована  e.splice.stand.bv.1.green 0,5-1,5 кв.мм, зелена</t>
  </si>
  <si>
    <t>s4036006</t>
  </si>
  <si>
    <t>Гільза з'єднувальна ізольована  e.splice.stand.bv.1.grey 0,5-1,5 кв.мм, сіра</t>
  </si>
  <si>
    <t>s4036007</t>
  </si>
  <si>
    <t>Гільза з'єднувальна ізольована  e.splice.stand.bv.1.orange 0,5-1,5 кв.мм, помаранчева</t>
  </si>
  <si>
    <t>s4036001</t>
  </si>
  <si>
    <t>Гільза з'єднувальна ізольована e.splice.stand.bv.1.red 0,5-1,5 кв.мм, червона</t>
  </si>
  <si>
    <t>s4036002</t>
  </si>
  <si>
    <t>Гільза з'єднувальна ізольована  e.splice.stand.bv.1.yellow 0,5-1,5 кв.мм, жовта</t>
  </si>
  <si>
    <t>s4036010</t>
  </si>
  <si>
    <t>Гільза з'єднувальна ізольована  e.splice.stand.bv.2.black 1,5-2,5 кв.мм, чорна</t>
  </si>
  <si>
    <t>s4036011</t>
  </si>
  <si>
    <t>Гільза з'єднувальна ізольована  e.splice.stand.bv.2.blue 1,5-2,5 кв.мм, синя</t>
  </si>
  <si>
    <t>s4036012</t>
  </si>
  <si>
    <t>Гільза з'єднувальна ізольована  e.splice.stand.bv.2.green 1,5-2,5 кв.мм, зелена</t>
  </si>
  <si>
    <t>s4036013</t>
  </si>
  <si>
    <t>Гільза з'єднувальна ізольована  e.splice.stand.bv.2.grey 1,5-2,5 кв.мм, сіра</t>
  </si>
  <si>
    <t>s4036014</t>
  </si>
  <si>
    <t>Гільза з'єднувальна ізольована  e.splice.stand.bv.2.orange 1,5-2,5 кв.мм, помаранчева</t>
  </si>
  <si>
    <t>s4036008</t>
  </si>
  <si>
    <t>Гільза з'єднувальна ізольована e.splice.stand.bv.2.red 1,5-2,5 кв.мм, червона</t>
  </si>
  <si>
    <t>s4036009</t>
  </si>
  <si>
    <t>Гільза з'єднувальна ізольована  e.splice.stand.bv.2.yellow 1,5-2,5 кв.мм, жовта</t>
  </si>
  <si>
    <t>s4036017</t>
  </si>
  <si>
    <t>Гільза з'єднувальна ізольована  e.splice.stand.bv.5.black 4-6 кв.мм, чорна</t>
  </si>
  <si>
    <t>s4036018</t>
  </si>
  <si>
    <t>Гільза з'єднувальна ізольована  e.splice.stand.bv.5.blue 4-6 кв.мм, синя</t>
  </si>
  <si>
    <t>s4036019</t>
  </si>
  <si>
    <t>Гільза з'єднувальна ізольована  e.splice.stand.bv.5.green 4-6 кв.мм, зелена</t>
  </si>
  <si>
    <t>s4036020</t>
  </si>
  <si>
    <t>Гільза з'єднувальна ізольована  e.splice.stand.bv.5.grey 4-6 кв.мм, сіра</t>
  </si>
  <si>
    <t>s4036021</t>
  </si>
  <si>
    <t>Гільза з'єднувальна ізольована  e.splice.stand.bv.5.orange 4-6 кв.мм, помаранчева</t>
  </si>
  <si>
    <t>s4036015</t>
  </si>
  <si>
    <t>Гільза з'єднувальна ізольована e.splice.stand.bv.5.red 4-6 кв.мм, червона</t>
  </si>
  <si>
    <t>s4036016</t>
  </si>
  <si>
    <t>Гільза з'єднувальна ізольована  e.splice.stand.bv.5.yellow 4-6 кв.мм, жовта</t>
  </si>
  <si>
    <t>s4036024</t>
  </si>
  <si>
    <t>Гільза з'єднувальна ізольована  e.splice.stand.rvt.1.black 0,5-1,5 кв.мм, чорна</t>
  </si>
  <si>
    <t>s4036025</t>
  </si>
  <si>
    <t>Гільза з'єднувальна ізольована  e.splice.stand.rvt.1.blue 0,5-1,5 кв.мм, синя</t>
  </si>
  <si>
    <t>s4036026</t>
  </si>
  <si>
    <t>Гільза з'єднувальна ізольована  e.splice.stand.rvt.1.green 0,5-1,5 кв.мм, зелена</t>
  </si>
  <si>
    <t>s4036027</t>
  </si>
  <si>
    <t>Гільза з'єднувальна ізольована  e.splice.stand.rvt.1.grey 0,5-1,5 кв.мм, сіра</t>
  </si>
  <si>
    <t>s4036028</t>
  </si>
  <si>
    <t>Гільза з'єднувальна ізольована  e.splice.stand.rvt.1.orange 0,5-1,5 кв.мм, помаранчева</t>
  </si>
  <si>
    <t>s4036022</t>
  </si>
  <si>
    <t>Гільза з'єднувальна ізольована e.splice.stand.rvt.1.red 0.5-1.5 кв.мм, червона</t>
  </si>
  <si>
    <t>s4036023</t>
  </si>
  <si>
    <t>Гільза з'єднувальна ізольована  e.splice.stand.rvt.1.yellow 0,5-1,5 кв.мм, жовта</t>
  </si>
  <si>
    <t>s4036031</t>
  </si>
  <si>
    <t>Гільза з'єднувальна ізольована  e.splice.stand.rvt.2.black 1,5-2,5 кв.мм, чорна</t>
  </si>
  <si>
    <t>s4036032</t>
  </si>
  <si>
    <t>Гільза з'єднувальна ізольована  e.splice.stand.rvt.2.blue 1,5-2,5 кв.мм, синя</t>
  </si>
  <si>
    <t>s4036033</t>
  </si>
  <si>
    <t>Гільза з'єднувальна ізольована  e.splice.stand.rvt.2.green 1,5-2,5 кв.мм, зелена</t>
  </si>
  <si>
    <t>s4036034</t>
  </si>
  <si>
    <t>Гільза з'єднувальна ізольована  e.splice.stand.rvt.2.grey 1,5-2,5 кв.мм, сіра</t>
  </si>
  <si>
    <t>s4036035</t>
  </si>
  <si>
    <t>Гільза з'єднувальна ізольована  e.splice.stand.rvt.2.orange 1,5-2,5 кв.мм, помаранчева</t>
  </si>
  <si>
    <t>s4036029</t>
  </si>
  <si>
    <t>Гільза з'єднувальна ізольована e.splice.stand.rvt.2.red 1,5-2,5 кв.мм, червона</t>
  </si>
  <si>
    <t>s4036030</t>
  </si>
  <si>
    <t>Гільза з'єднувальна ізольована  e.splice.stand.rvt.2.yellow 1,5-2,5 кв.мм, жовта</t>
  </si>
  <si>
    <t>s4036038</t>
  </si>
  <si>
    <t>Гільза з'єднувальна ізольована  e.splice.stand.rvt.5.black 4-6 кв.мм, чорна</t>
  </si>
  <si>
    <t>s4036039</t>
  </si>
  <si>
    <t>Гільза з'єднувальна ізольована  e.splice.stand.rvt.5.blue 4-6 кв.мм, синя</t>
  </si>
  <si>
    <t>s4036040</t>
  </si>
  <si>
    <t>Гільза з'єднувальна ізольована  e.splice.stand.rvt.5.green 4-6 кв.мм, зелена</t>
  </si>
  <si>
    <t>s4036041</t>
  </si>
  <si>
    <t>Гільза з'єднувальна ізольована  e.splice.stand.rvt.5.grey 4-6 кв.мм, сіра</t>
  </si>
  <si>
    <t>s4036042</t>
  </si>
  <si>
    <t>Гільза з'єднувальна ізольована  e.splice.stand.rvt.5.orange 4-6 кв.мм, помаранчева</t>
  </si>
  <si>
    <t>s4036036</t>
  </si>
  <si>
    <t>Гільза з'єднувальна ізольована e.splice.stand.rvt.5.red 4-6 кв.мм, червона</t>
  </si>
  <si>
    <t>s4036037</t>
  </si>
  <si>
    <t>Гільза з'єднувальна ізольована  e.splice.stand.rvt.5.yellow 4-6 кв.мм, жовта</t>
  </si>
  <si>
    <t>5.Наконечники кабельні ізольовані на 2 проводи TЕ серії STAND</t>
  </si>
  <si>
    <t>s4037002</t>
  </si>
  <si>
    <t>Ізольований наконечник e.terminal.stand.te.2.0.75.blue (TE7510 blue) 2x0,75  кв.мм, блакитний</t>
  </si>
  <si>
    <t>s4037001</t>
  </si>
  <si>
    <t>Ізольований наконечник e.terminal.stand.te.2.0.75.orange (TE7508 orange) 2x0,75  кв.мм, помаранчевий</t>
  </si>
  <si>
    <t>s4037000</t>
  </si>
  <si>
    <t>Ізольований наконечник e.terminal.stand.te.2.0.5.white (TE0508 white) 2x0,5  кв.мм, білий</t>
  </si>
  <si>
    <t>s4037004</t>
  </si>
  <si>
    <t>Ізольований наконечник e.terminal.stand.te.2.1.red (TE1010 red) 2x1  кв.мм, червоний</t>
  </si>
  <si>
    <t>s4037003</t>
  </si>
  <si>
    <t>Ізольований наконечник e.terminal.stand.te.2.1.white (TE1008 white) 2x1  кв.мм, білий</t>
  </si>
  <si>
    <t>s4037006</t>
  </si>
  <si>
    <t>Ізольований наконечник e.terminal.stand.te.2.1.5.black (TE1512 black) 2x1,5  кв.мм, чорний</t>
  </si>
  <si>
    <t>s4037005</t>
  </si>
  <si>
    <t>Ізольований наконечник e.terminal.stand.te.2.1.5.yellow (TE1508 yellow) 2x1,5  кв.мм, жовтий</t>
  </si>
  <si>
    <t>s4037008</t>
  </si>
  <si>
    <t>Ізольований наконечник e.terminal.stand.te.2.2.5.grey (TE2513 grey) 2x2,5  кв.мм, сірий</t>
  </si>
  <si>
    <t>s4037007</t>
  </si>
  <si>
    <t>Ізольований наконечник e.terminal.stand.te.2.2.5.red (TE2510 red) 2x2,5  кв.мм, червоний</t>
  </si>
  <si>
    <t>s4037009</t>
  </si>
  <si>
    <t>Ізольований наконечник e.terminal.stand.te.2.4.orange (TE4012 orange) 2x4  кв.мм, помаранчевий</t>
  </si>
  <si>
    <t>s4037010</t>
  </si>
  <si>
    <t>Ізольований наконечник e.terminal.stand.te.2.6.black (TE6014 black) 2x6 кв.мм, чорний</t>
  </si>
  <si>
    <t>s4037011</t>
  </si>
  <si>
    <t>Ізольований наконечник e.terminal.stand.te.2.10.brown (TE10-14 brown) 2x10 кв.мм, коричневий</t>
  </si>
  <si>
    <t>s4037012</t>
  </si>
  <si>
    <t>Ізольований наконечник e.terminal.stand.te.2.16.grey (TE16-14 grey) 2x16 кв.мм, сірий</t>
  </si>
  <si>
    <t>6.Наконечники кабельні неізольовані ЕN серії STAND</t>
  </si>
  <si>
    <t>s4038000</t>
  </si>
  <si>
    <t>Неізольований наконечник e.terminal.stand.en.0.5.6 0,5 кв.мм, L=6 мм</t>
  </si>
  <si>
    <t>s4038001</t>
  </si>
  <si>
    <t>Неізольований наконечник e.terminal.stand.en.0.75.6 0,75 кв.мм, L=6 мм</t>
  </si>
  <si>
    <t>s4038002</t>
  </si>
  <si>
    <t>Неізольований наконечник e.terminal.stand.en.1.6 1,0 кв.мм, L=6 мм</t>
  </si>
  <si>
    <t>s4038003</t>
  </si>
  <si>
    <t>Неізольований наконечник e.terminal.stand.en.1.10 1,0 кв.мм, L=10 мм</t>
  </si>
  <si>
    <t>s4038004</t>
  </si>
  <si>
    <t>Неізольований наконечник e.terminal.stand.en.1.5.7 1,5 кв.мм, L=7 мм</t>
  </si>
  <si>
    <t>s4038005</t>
  </si>
  <si>
    <t>Неізольований наконечник e.terminal.stand.en.1.5.10 1,5 кв.мм, L=10 мм</t>
  </si>
  <si>
    <t>s4038006</t>
  </si>
  <si>
    <t>Неізольований наконечник e.terminal.stand.en.2.5.7 2,5 кв.мм, L=7 мм</t>
  </si>
  <si>
    <t>s4038007</t>
  </si>
  <si>
    <t>Неізольований наконечник e.terminal.stand.en.2.5.12 2,5 кв.мм, L=12 мм</t>
  </si>
  <si>
    <t>s4038008</t>
  </si>
  <si>
    <t>Неізольований наконечник e.terminal.stand.en.4.9 4,0 кв.мм, L=9 мм</t>
  </si>
  <si>
    <t>s4038009</t>
  </si>
  <si>
    <t>Неізольований наконечник e.terminal.stand.en.4.12 4,0 кв.мм, L=12 мм</t>
  </si>
  <si>
    <t>s4038010</t>
  </si>
  <si>
    <t>Неізольований наконечник e.terminal.stand.en.6.10 6,0 кв.мм, L=10 мм</t>
  </si>
  <si>
    <t>s4038011</t>
  </si>
  <si>
    <t>Неізольований наконечник e.terminal.stand.en.6.12 6,0 кв.мм, L=12 мм</t>
  </si>
  <si>
    <t>s4038012</t>
  </si>
  <si>
    <t>Неізольований наконечник e.terminal.stand.en.10.12 10,0 кв.мм, L=12 мм</t>
  </si>
  <si>
    <t>s4038013</t>
  </si>
  <si>
    <t>Неізольований наконечник e.terminal.stand.en.10.18 10,0 кв.мм, L=18 мм</t>
  </si>
  <si>
    <t>s4038014</t>
  </si>
  <si>
    <t>Неізольований наконечник e.terminal.stand.en.16.12 16,0 кв.мм, L=12 мм</t>
  </si>
  <si>
    <t>s4038015</t>
  </si>
  <si>
    <t>Неізольований наконечник e.terminal.stand.en.16.18 16,0 кв.мм, L=18 мм</t>
  </si>
  <si>
    <t>s4038016</t>
  </si>
  <si>
    <t>Неізольований наконечник e.terminal.stand.en.25.16 25,0 кв.мм, L=16 мм</t>
  </si>
  <si>
    <t>s4038017</t>
  </si>
  <si>
    <t>Неізольований наконечник e.terminal.stand.en.25.22 25,0 кв.мм, L=22 мм</t>
  </si>
  <si>
    <t>s4038018</t>
  </si>
  <si>
    <t>Неізольований наконечник e.terminal.stand.en.35.16 35,0 кв.мм, L=16 мм</t>
  </si>
  <si>
    <t>s4038019</t>
  </si>
  <si>
    <t>Неізольований наконечник e.terminal.stand.en.35.25 35,0 кв.мм, L=25 мм</t>
  </si>
  <si>
    <t>s4038020</t>
  </si>
  <si>
    <t>Неізольований наконечник e.terminal.stand.en.50.25 50,0 кв.мм, L=25 мм</t>
  </si>
  <si>
    <t>7.Наконечники-з'єднувачі ізольовані FN серії STAND</t>
  </si>
  <si>
    <t>s4039000</t>
  </si>
  <si>
    <t>Наконечник-з'єднувач ізольований серії FN e.terminal.stand.fdfn1.25.250.red (fn.f.0,5.1,5) 0,5-1,5 кв.мм "мама"</t>
  </si>
  <si>
    <t>s4039001</t>
  </si>
  <si>
    <t>Наконечник-з'єднувач ізольований серії FN e.terminal.stand.fdfn2.250.blue (fn.f.1,5.2,5) 1,5-2,5 кв.мм "мама"</t>
  </si>
  <si>
    <t>s4039002</t>
  </si>
  <si>
    <t>Наконечник-з'єднувач ізольований серії FN e.terminal.stand.fdfn5.5.250.yellow (fn.f.4.6) 4-6 кв.мм "мама"</t>
  </si>
  <si>
    <t>s4039003</t>
  </si>
  <si>
    <t>Наконечник-з'єднувач ізольований серії FN e.terminal.stand.mdfn1.25.250.red (fn.m.0,5.1,5) 0,5-1,5 кв.мм "папа"</t>
  </si>
  <si>
    <t>s4039004</t>
  </si>
  <si>
    <t>Наконечник-з'єднувач ізольований серії FN e.terminal.stand.mdfn2.250.blue (fn.m.1,5.2,5) 1,5-2,5 кв.мм "папа"</t>
  </si>
  <si>
    <t>s4039005</t>
  </si>
  <si>
    <t>Наконечник-з'єднувач ізольований серії FN e.terminal.stand.mdfn5.5.250.yellow (fn.m.4.6) 4-6 кв.мм "папа"</t>
  </si>
  <si>
    <t>8.Наконечники-з'єднувачі ізольовані MPD FRD серії STAND</t>
  </si>
  <si>
    <t>s4040003</t>
  </si>
  <si>
    <t>Ізольований наконечник e.terminal.stand.frd1.25.156.red (blt.f.0,5.1,5)</t>
  </si>
  <si>
    <t>s4040004</t>
  </si>
  <si>
    <t>Ізольований наконечник e.terminal.stand.frd2.156.blue (blt.f.1,5.2,5)</t>
  </si>
  <si>
    <t>s4040005</t>
  </si>
  <si>
    <t>Ізольований наконечник e.terminal.stand.frd5.5.195.yellow (blt.f.4.6)</t>
  </si>
  <si>
    <t>s4040000</t>
  </si>
  <si>
    <t>Ізольований наконечник e.terminal.stand.mpd1.25.156.red (blt.m.0,5.1,5)</t>
  </si>
  <si>
    <t>s4040001</t>
  </si>
  <si>
    <t>Ізольований наконечник e.terminal.stand.mpd2.156.blue (blt.m.1,5.2,5)</t>
  </si>
  <si>
    <t>s4040002</t>
  </si>
  <si>
    <t>Ізольований наконечник e.terminal.stand.mpd5.5.195.yellow (blt.m.4.6)</t>
  </si>
  <si>
    <t>9.Наконечники-з'єднувачі ізольовані MDD FDD серії STAND</t>
  </si>
  <si>
    <t>s4041005</t>
  </si>
  <si>
    <t>Ізольований наконечник e.terminal.stand.fdd1.25.110.8 (dd.f.0,5.1,5)</t>
  </si>
  <si>
    <t>s4041006</t>
  </si>
  <si>
    <t>Ізольований наконечник e.terminal.stand.fdd1.25.250 (dd.f.0,5.1,5.l)</t>
  </si>
  <si>
    <t>s4041007</t>
  </si>
  <si>
    <t>Ізольований наконечник e.terminal.stand.fdd2.187.8 (dd.f.1,5.2,5)</t>
  </si>
  <si>
    <t>s4041008</t>
  </si>
  <si>
    <t>Ізольований наконечник e.terminal.stand.fdd2.250 (dd.f.1,5.2,5.l)</t>
  </si>
  <si>
    <t>s4041009</t>
  </si>
  <si>
    <t>Наконечник ізольований e.terminal.stand.fdd5.5.250 (dd.f.4.6)</t>
  </si>
  <si>
    <t>s4041000</t>
  </si>
  <si>
    <t>Наконечник ізольований e.terminal.stand.mdd1.25.110.8 (dd.m.0,5.1,5)</t>
  </si>
  <si>
    <t>s4041001</t>
  </si>
  <si>
    <t>Наконечник ізольований e.terminal.stand.mdd1.25.250 (dd.m.0,5.1,5,l)</t>
  </si>
  <si>
    <t>s4041002</t>
  </si>
  <si>
    <t>Наконечник ізольований e.terminal.stand.mdd2.187.8 (dd.m.1,5.2,5)</t>
  </si>
  <si>
    <t>s4041003</t>
  </si>
  <si>
    <t>Наконечник ізольований e.terminal.stand.mdd2.250 (dd.m.1,5.2,5.l)</t>
  </si>
  <si>
    <t>s4041004</t>
  </si>
  <si>
    <t>Наконечник ізольований e.terminal.stand.mdd5.5.250 (dd.m.4.6)</t>
  </si>
  <si>
    <t>10. Гільзи кабельні алюмінієві під опресовування GL серії STAND</t>
  </si>
  <si>
    <t>s4042000</t>
  </si>
  <si>
    <t>Гільза алюмінієва кабельна з'єднувальна e.tube.stand.gl.16</t>
  </si>
  <si>
    <t>s4042001</t>
  </si>
  <si>
    <t>Гільза алюмінієва кабельна з'єднувальна e.tube.stand.gl.25</t>
  </si>
  <si>
    <t>s4042002</t>
  </si>
  <si>
    <t>Гільза алюмінієва кабельна з'єднувальна e.tube.stand.gl.35</t>
  </si>
  <si>
    <t>s4042003</t>
  </si>
  <si>
    <t>Гільза алюмінієва кабельна з'єднувальна e.tube.stand.gl.50</t>
  </si>
  <si>
    <t>s4042004</t>
  </si>
  <si>
    <t>Гільза алюмінієва кабельна з'єднувальна e.tube.stand.gl.70</t>
  </si>
  <si>
    <t>s4042005</t>
  </si>
  <si>
    <t>Гільза алюмінієва кабельна з'єднувальна e.tube.stand.gl.95</t>
  </si>
  <si>
    <t>s4042006</t>
  </si>
  <si>
    <t>Гільза алюмінієва кабельна з'єднувальна e.tube.stand.gl.120</t>
  </si>
  <si>
    <t>s4042007</t>
  </si>
  <si>
    <t>Гільза алюмінієва кабельна з'єднувальна e.tube.stand.gl.150</t>
  </si>
  <si>
    <t>s4042008</t>
  </si>
  <si>
    <t>Гільза алюмінієва кабельна з'єднувальна e.tube.stand.gl.185</t>
  </si>
  <si>
    <t>s4042009</t>
  </si>
  <si>
    <t>Гільза алюмінієва кабельна з'єднувальна e.tube.stand.gl.240</t>
  </si>
  <si>
    <t>11.Наконечники і гільзи під Епіцентр</t>
  </si>
  <si>
    <t>1.Наконечники кабельні алюмінієві</t>
  </si>
  <si>
    <t>s040016</t>
  </si>
  <si>
    <t>Наконечник кабельний алюмінієвий 10  (5 штук)</t>
  </si>
  <si>
    <t>s040017</t>
  </si>
  <si>
    <t>Наконечник кабельний алюмінієвий 16  (5 штук)</t>
  </si>
  <si>
    <t>s040018</t>
  </si>
  <si>
    <t>Наконечник кабельний алюмінієвий 25  (5 штук)</t>
  </si>
  <si>
    <t>s040019</t>
  </si>
  <si>
    <t>Наконечник кабельний алюмінієвий 35  (5 штук)</t>
  </si>
  <si>
    <t>2.Наконечники кабельні мідні</t>
  </si>
  <si>
    <t>s040020</t>
  </si>
  <si>
    <t>Наконечник кабельний мідний 1.5  (5 штук)</t>
  </si>
  <si>
    <t>s040021</t>
  </si>
  <si>
    <t>Наконечник кабельний мідний 2.5  (5 штук)</t>
  </si>
  <si>
    <t>s040022</t>
  </si>
  <si>
    <t>Наконечник кабельний мідний 4  (5 штук)</t>
  </si>
  <si>
    <t>s040023</t>
  </si>
  <si>
    <t>Наконечник кабельний мідний 6  (5 штук)</t>
  </si>
  <si>
    <t>s040024</t>
  </si>
  <si>
    <t>Наконечник кабельний мідний 10  (5 штук)</t>
  </si>
  <si>
    <t>s040025</t>
  </si>
  <si>
    <t>Наконечник кабельний мідний 16  (5 штук)</t>
  </si>
  <si>
    <t>s040026</t>
  </si>
  <si>
    <t>Наконечник кабельний мідний 25  (5 штук)</t>
  </si>
  <si>
    <t>s040027</t>
  </si>
  <si>
    <t>Наконечник кабельний мідний 35  (5 штук)</t>
  </si>
  <si>
    <t>s040028</t>
  </si>
  <si>
    <t>Наконечник кабельний мідний 50  (5 штук)</t>
  </si>
  <si>
    <t>s040029</t>
  </si>
  <si>
    <t>Наконечник кабельний мідний 70  (5 штук)</t>
  </si>
  <si>
    <t>3.Наконечники кабельні луджені</t>
  </si>
  <si>
    <t>s040030</t>
  </si>
  <si>
    <t>Наконечник кабельний мідний луджений 1.5  (5 штук)</t>
  </si>
  <si>
    <t>s040031</t>
  </si>
  <si>
    <t>Наконечник кабельний мідний луджений 2.5  (5 штук)</t>
  </si>
  <si>
    <t>s040032</t>
  </si>
  <si>
    <t>Наконечник кабельний мідний луджений 4  (5 штук)</t>
  </si>
  <si>
    <t>s040033</t>
  </si>
  <si>
    <t>Наконечник кабельний мідний луджений 6  (5 штук)</t>
  </si>
  <si>
    <t>s040034</t>
  </si>
  <si>
    <t>Наконечник кабельний мідний луджений 10  (5 штук)</t>
  </si>
  <si>
    <t>s040035</t>
  </si>
  <si>
    <t>Наконечник кабельний мідний луджений 16  (5 штук)</t>
  </si>
  <si>
    <t>s040036</t>
  </si>
  <si>
    <t>Наконечник кабельний мідний луджений 25  (5 штук)</t>
  </si>
  <si>
    <t>s040037</t>
  </si>
  <si>
    <t>Наконечник кабельний мідний луджений 35  (5 штук)</t>
  </si>
  <si>
    <t>s040038</t>
  </si>
  <si>
    <t>Наконечник кабельний мідний луджений 50  (5 штук)</t>
  </si>
  <si>
    <t>s040039</t>
  </si>
  <si>
    <t>Наконечник кабельний мідний луджений 70  (5 штук)</t>
  </si>
  <si>
    <t>4.Гільзы кабельні луджені</t>
  </si>
  <si>
    <t>s041016</t>
  </si>
  <si>
    <t>Гільза мідна луджена кабельна з'єднувальна e.tube.stand.gty.4 (5 штук)</t>
  </si>
  <si>
    <t>s041017</t>
  </si>
  <si>
    <t>Гільза мідна луджена кабельна з'єднувальна e.tube.stand.gty.6 (5 штук)</t>
  </si>
  <si>
    <t>s041018</t>
  </si>
  <si>
    <t>Гільза мідна луджена кабельна з'єднувальна e.tube.stand.gty.10 (5 штук)</t>
  </si>
  <si>
    <t>4.Ізоляційна стрічка</t>
  </si>
  <si>
    <t>1.Ізоляційна стрічка TAPE із ПВХ серії STAND</t>
  </si>
  <si>
    <t>s022006</t>
  </si>
  <si>
    <t>Ізолента e.tape.stand.10.black, чорна (10м)</t>
  </si>
  <si>
    <t>s022005</t>
  </si>
  <si>
    <t>Ізолента e.tape.stand.10.blue, синя (10м)</t>
  </si>
  <si>
    <t>s022003</t>
  </si>
  <si>
    <t>Ізолента e.tape.stand.10.green, зелена (10м)</t>
  </si>
  <si>
    <t>s022001</t>
  </si>
  <si>
    <t>Ізолента e.tape.stand.10.red, червона (10м)</t>
  </si>
  <si>
    <t>s022004</t>
  </si>
  <si>
    <t>Ізолента e.tape.stand.10.white, біла (10м)</t>
  </si>
  <si>
    <t>s022002</t>
  </si>
  <si>
    <t>Ізолента e.tape.stand.10.yellow, жовта (10м)</t>
  </si>
  <si>
    <t>s022007</t>
  </si>
  <si>
    <t>Ізолента e.tape.stand.10.yellow-green, жовто-зелена (10м)</t>
  </si>
  <si>
    <t>s022016</t>
  </si>
  <si>
    <t>Ізолента e.tape.stand.20.black, чорна (20м)</t>
  </si>
  <si>
    <t>s022015</t>
  </si>
  <si>
    <t>Ізолента e.tape.stand.20.blue, синя (20м)</t>
  </si>
  <si>
    <t>s022013</t>
  </si>
  <si>
    <t>Ізолента e.tape.stand.20.green, зелена (20м)</t>
  </si>
  <si>
    <t>s022011</t>
  </si>
  <si>
    <t>Ізолента e.tape.stand.20.red, червона (20м)</t>
  </si>
  <si>
    <t>s022014</t>
  </si>
  <si>
    <t>Ізолента e.tape.stand.20.white, біла (20м)</t>
  </si>
  <si>
    <t>s022012</t>
  </si>
  <si>
    <t>Ізолента e.tape.stand.20.yellow, жовта (20м)</t>
  </si>
  <si>
    <t>s022017</t>
  </si>
  <si>
    <t>Ізолента e.tape.stand.20.yellow-green, жовто-зелена (20м)</t>
  </si>
  <si>
    <t>2.Ізоляційна стрічка TAPE із самозгасаючого ПВХ серії PRO</t>
  </si>
  <si>
    <t>p0450006</t>
  </si>
  <si>
    <t>Ізолента e.tape.pro.10.black із самозгасаючого ПВХ, чорна (10м)</t>
  </si>
  <si>
    <t>p0450005</t>
  </si>
  <si>
    <t>Ізолента e.tape.pro.10.blue із самозгасаючого ПВХ, синя (10м)</t>
  </si>
  <si>
    <t>p0450003</t>
  </si>
  <si>
    <t>Ізолента e.tape.pro.10.green із самозгасаючого ПВХ, зелена (10м)</t>
  </si>
  <si>
    <t>p0450001</t>
  </si>
  <si>
    <t>Ізолента e.tape.pro.10.red із самозгасаючого ПВХ, червона (10м)</t>
  </si>
  <si>
    <t>p0450004</t>
  </si>
  <si>
    <t>Ізолента e.tape.pro.10.white із самозгасаючого ПВХ, біла (10м)</t>
  </si>
  <si>
    <t>p0450002</t>
  </si>
  <si>
    <t>Ізолента e.tape.pro.10.yellow із самозгасаючого ПВХ, жовта (10м)</t>
  </si>
  <si>
    <t>p0450007</t>
  </si>
  <si>
    <t>Ізолента e.tape.pro.10.yellow-green із самозгасаючого ПВХ, жовто-зелена (10м)</t>
  </si>
  <si>
    <t>p0450013</t>
  </si>
  <si>
    <t>Ізолента e.tape.pro.20.black із самозгасаючого ПВХ, чорна (20м)</t>
  </si>
  <si>
    <t>p0450012</t>
  </si>
  <si>
    <t>Ізолента e.tape.pro.20.blue із самозгасаючого ПВХ, синя (20м)</t>
  </si>
  <si>
    <t>p0450010</t>
  </si>
  <si>
    <t>Ізолента e.tape.pro.20.green із самозгасаючого ПВХ, зелена (20м)</t>
  </si>
  <si>
    <t>p0450008</t>
  </si>
  <si>
    <t>Ізолента e.tape.pro.20.red із самозгасаючого ПВХ, червона (20м)</t>
  </si>
  <si>
    <t>p0450011</t>
  </si>
  <si>
    <t>Ізолента e.tape.pro.20.white із самозгасаючого ПВХ, біла (20м)</t>
  </si>
  <si>
    <t>p0450009</t>
  </si>
  <si>
    <t>Ізолента e.tape.pro.20.yellow із самозгасаючого ПВХ, жовта (20м)</t>
  </si>
  <si>
    <t>p0450014</t>
  </si>
  <si>
    <t>Ізолента e.tape.pro.20.yellow-green із самозгасаючого ПВХ, жовто-зелена (20м)</t>
  </si>
  <si>
    <t>3.Самовулканізуюча ізолента SF</t>
  </si>
  <si>
    <t>p054001</t>
  </si>
  <si>
    <t>Самовулканізуюча ізолента e.tape.sf.5.black, 0,8ммх25ммх5м, чорна</t>
  </si>
  <si>
    <t>7.Коробки монтажні та установчі</t>
  </si>
  <si>
    <t>1.Коробки монтажні DB українського виробництва серії STAND</t>
  </si>
  <si>
    <t>s027024</t>
  </si>
  <si>
    <t>Коробка розподільча пластикова e.db.stand.85.85.45 цегла/бетон</t>
  </si>
  <si>
    <t>s0270241</t>
  </si>
  <si>
    <t>Коробка розподільча пластикова e.db.stand.85.85.45 (25шт) цегла/бетон</t>
  </si>
  <si>
    <t>s027030</t>
  </si>
  <si>
    <t>Коробка розподільча пластикова e.db.stand.85.85.45.gk гіпсокартон</t>
  </si>
  <si>
    <t>s0270301</t>
  </si>
  <si>
    <t>Коробка розподільча пластикова e.db.stand.85.85.45.gk (25шт) гіпсокартон</t>
  </si>
  <si>
    <t>s027026</t>
  </si>
  <si>
    <t>Коробка розподільча пластикова e.db.stand.100.100.45 цегла/бетон</t>
  </si>
  <si>
    <t>s0270261</t>
  </si>
  <si>
    <t>Коробка розподільча пластикова e.db.stand.100.100.45 (25шт) цегла/бетон</t>
  </si>
  <si>
    <t>s027031</t>
  </si>
  <si>
    <t>Коробка розподільча пластикова e.db.stand.100.100.45 гіпсокартон</t>
  </si>
  <si>
    <t>s0270311</t>
  </si>
  <si>
    <t>Коробка розподільча пластикова e.db.stand.100.100.45.gk (25шт) гіпсокартон</t>
  </si>
  <si>
    <t>s027027</t>
  </si>
  <si>
    <t>Коробка розподільча пластикова e.db.stand.130.130.55 цегла/бетон</t>
  </si>
  <si>
    <t>s0270322</t>
  </si>
  <si>
    <t>Коробка розподільча пластикова e.db.stand.130.130.55 цегла/бетон(15шт)</t>
  </si>
  <si>
    <t>s027032</t>
  </si>
  <si>
    <t>Коробка розподільча пластикова e.db.stand.130.130.55 гіпсокартон</t>
  </si>
  <si>
    <t>s0270321</t>
  </si>
  <si>
    <t>Коробка розподільча пластикова e.db.stand.130.130.55 гіпсокартон (15шт)</t>
  </si>
  <si>
    <t>s027028</t>
  </si>
  <si>
    <t>Коробка розподільча пластикова e.db.stand.160.160.65 цегла/бетон</t>
  </si>
  <si>
    <t>s0270332</t>
  </si>
  <si>
    <t>Коробка розподільча пластикова e.db.stand.160.160.65 цегла/бетон(10шт)</t>
  </si>
  <si>
    <t>s027033</t>
  </si>
  <si>
    <t>Коробка розподільча пластикова e.db.stand.160.160.65 гіпсокартон</t>
  </si>
  <si>
    <t>s0270331</t>
  </si>
  <si>
    <t>Коробка розподільча пластикова e.db.stand.160.160.65 гіпсокартон(10шт)</t>
  </si>
  <si>
    <t>s027029</t>
  </si>
  <si>
    <t>Коробка розподільча пластикова e.db.stand.200.200.70 цегла/бетон</t>
  </si>
  <si>
    <t>s0270341</t>
  </si>
  <si>
    <t>Коробка розподільча пластикова e.db.stand.200.200.70(6шт) цегла/бетон</t>
  </si>
  <si>
    <t>s027034</t>
  </si>
  <si>
    <t>Коробка розподільча пластикова e.db.stand.200.200.70 гіпсокартон</t>
  </si>
  <si>
    <t>s0270342</t>
  </si>
  <si>
    <t>Коробка розподільча пластикова e.db.stand.200.200.70.gk(6шт) гіпсокартон</t>
  </si>
  <si>
    <t>s027014</t>
  </si>
  <si>
    <t>Коробка розподільча e.db.stand.107.d70 цегла/бетон.</t>
  </si>
  <si>
    <t>s027007</t>
  </si>
  <si>
    <t>Коробка розподільча e.db.stand.108.d80 цегла/бетон</t>
  </si>
  <si>
    <t>s027011</t>
  </si>
  <si>
    <t>Коробка розподільча e.db.stand.110.d100 цегла/бетон</t>
  </si>
  <si>
    <t>s027015</t>
  </si>
  <si>
    <t>Коробка розподільча e.db.stand.105.d70 гіпсокартон, упор ПВХ.</t>
  </si>
  <si>
    <t>s027005</t>
  </si>
  <si>
    <t>Коробка розподільча e.db.stand.106.d80 гіпсокартон, упор ПВХ.</t>
  </si>
  <si>
    <t>s027012</t>
  </si>
  <si>
    <t>Коробка розподільча e.db.stand.111.d100 гіпсокартон, упор ПВХ.</t>
  </si>
  <si>
    <t>s027016</t>
  </si>
  <si>
    <t>Коробка розподільча e.db.stand.205.d70 гіпсокартон, упор металевий</t>
  </si>
  <si>
    <t>s027006</t>
  </si>
  <si>
    <t>Коробка розподільча e.db.stand.206.d80 гіпсокартон, упор металевий</t>
  </si>
  <si>
    <t>s027013</t>
  </si>
  <si>
    <t>Коробка розподільча e.db.stand.211.d100 гіпсокартон, упор металевий</t>
  </si>
  <si>
    <t>s027017</t>
  </si>
  <si>
    <t>Коробка розподільча e.db.stand.700.70.70.42 70х70х42мм  зовнішня</t>
  </si>
  <si>
    <t>s027022</t>
  </si>
  <si>
    <t>Коробка розподільча e.db.stand.900.90.90.52 90х90x52мм  зовнішня</t>
  </si>
  <si>
    <t>s027035</t>
  </si>
  <si>
    <t>Коробка монтажна e.db.stand.r1.d80k з клемником, d80 мм, IP 44, Р 1, зовнішня</t>
  </si>
  <si>
    <t>s027036</t>
  </si>
  <si>
    <t>Коробка монтажна  e.db.stand.r2.85x85x35K з клемником, 85х85х35 мм, IP 44, Р 2, зовнішня</t>
  </si>
  <si>
    <t>s027037</t>
  </si>
  <si>
    <t>Коробка монтажна e.db.stand.r4.85x85x35K з клемником, 85х85х35 мм, IP 44, Р 4, зовнішня</t>
  </si>
  <si>
    <t>2.Коробки монтажні DB серії PRO</t>
  </si>
  <si>
    <t>p016002</t>
  </si>
  <si>
    <t>Монтажна коробка e.db.pro.85.85.50</t>
  </si>
  <si>
    <t>p016003</t>
  </si>
  <si>
    <t>Монтажна коробка e.db.pro.100.100.70</t>
  </si>
  <si>
    <t>p016008</t>
  </si>
  <si>
    <t>Монтажна коробка e.db.pro.150.110.70</t>
  </si>
  <si>
    <t>p016004</t>
  </si>
  <si>
    <t>Монтажна коробка e.db.pro.150.150.70</t>
  </si>
  <si>
    <t>p016005</t>
  </si>
  <si>
    <t>Монтажна коробка e.db.pro.200.100.70</t>
  </si>
  <si>
    <t>p016009</t>
  </si>
  <si>
    <t>Монтажна коробка e.db.pro.200.155.80</t>
  </si>
  <si>
    <t>p016012</t>
  </si>
  <si>
    <t>Монтажна коробка e.db.pro.200.200.80</t>
  </si>
  <si>
    <t>p016006</t>
  </si>
  <si>
    <t>Монтажна коробка e.db.pro.255.200.80</t>
  </si>
  <si>
    <t>p016010</t>
  </si>
  <si>
    <t>Монтажна коробка e.db.pro.300.250.120</t>
  </si>
  <si>
    <t>p016011</t>
  </si>
  <si>
    <t>Монтажна коробка e.db.pro.400.350.120</t>
  </si>
  <si>
    <t>p016007</t>
  </si>
  <si>
    <t>Монтажна коробка e.db.pro.d50.50</t>
  </si>
  <si>
    <t>p016001</t>
  </si>
  <si>
    <t>Монтажна коробка e.db.pro.d80.50</t>
  </si>
  <si>
    <t>3.Коробки монтажні без отворів для введення OE серії E.PRO</t>
  </si>
  <si>
    <t>p018003</t>
  </si>
  <si>
    <t>Монтажна коробка e.db.pro.oe.100.100.70, IP 65, без отворів для введення</t>
  </si>
  <si>
    <t>p018008</t>
  </si>
  <si>
    <t>Монтажна коробка e.db.pro.oe.150.110.70, IP 65, без отворів для введення</t>
  </si>
  <si>
    <t>p018004</t>
  </si>
  <si>
    <t>Монтажна коробка e.db.pro.oe.150.150.70,  IP 65, без отворів для введення</t>
  </si>
  <si>
    <t>p018005</t>
  </si>
  <si>
    <t>Монтажна коробка e.db.pro.oe.200.100.70, IP 65, без отворів для введення</t>
  </si>
  <si>
    <t>p018009</t>
  </si>
  <si>
    <t>Монтажна коробка e.db.pro.oe.200.155.80, IP 65, без отворів для введення</t>
  </si>
  <si>
    <t>p018012</t>
  </si>
  <si>
    <t>Монтажна коробка e.db.pro.oe.200.200.80, IP 65, без отворів для введення</t>
  </si>
  <si>
    <t>p018006</t>
  </si>
  <si>
    <t>Монтажна коробка e.db.pro.oe.255.200.80, IP 65, без отворів для введення</t>
  </si>
  <si>
    <t>p018010</t>
  </si>
  <si>
    <t>Монтажна коробка e.db.pro.oe.300.250.120, IP 65, без отворів для введення</t>
  </si>
  <si>
    <t>4.Коробки монтажні DB серії INDUSTRIAL</t>
  </si>
  <si>
    <t>i0350002</t>
  </si>
  <si>
    <t>Коробка розподільча e.industrial.db.902, 88х88х53 без клемної колодки</t>
  </si>
  <si>
    <t>i0350001</t>
  </si>
  <si>
    <t>Коробка розподільча e.industrial.db.902.k, 88х88х53 з клемною колодкою</t>
  </si>
  <si>
    <t>i0350004</t>
  </si>
  <si>
    <t>Коробка розподільча e.industrial.db.904, 98х98х61 без клемної колодки</t>
  </si>
  <si>
    <t>i0350003</t>
  </si>
  <si>
    <t>Коробка розподільча e.industrial.db.904.k, 98х98х61 з клемною колодкою</t>
  </si>
  <si>
    <t>i0350006</t>
  </si>
  <si>
    <t>Коробка розподільча e.industrial.db.906, 139х119х70 без клемної колодки</t>
  </si>
  <si>
    <t>i0350005</t>
  </si>
  <si>
    <t>Коробка розподільча e.industrial.db.906.k, 139х119х70 з клемною колодкою</t>
  </si>
  <si>
    <t>i0350008</t>
  </si>
  <si>
    <t>Коробка розподільча e.industrial.db.910, 167х125х83 без клемної колодки</t>
  </si>
  <si>
    <t>i0350007</t>
  </si>
  <si>
    <t>Коробка розподільча e.industrial.db.910.k, 167х125х82 з клемною колодкою</t>
  </si>
  <si>
    <t>i0350010</t>
  </si>
  <si>
    <t>Коробка розподільча e.industrial.db.925, 200х160х98 без клемної колодки</t>
  </si>
  <si>
    <t>i0350009</t>
  </si>
  <si>
    <t>Коробка розподільча e.industrial.db.925.k, 200х160х98 з клемною колодкою</t>
  </si>
  <si>
    <t>5.Коробки монтажні пластикові серії TAREL</t>
  </si>
  <si>
    <t>042</t>
  </si>
  <si>
    <t>Коробка монтажна пластикова  4, IP44, 380 В, 5*2.5</t>
  </si>
  <si>
    <t>9110-000</t>
  </si>
  <si>
    <t>Коробка монтажна пластикова Z1 SO IP 55 без кабельних вводів (165*165*140)</t>
  </si>
  <si>
    <t>9110-125</t>
  </si>
  <si>
    <t>Коробка монтажна пластикова Z1 SO IP 55 з кабельними вводами (165*165*140)</t>
  </si>
  <si>
    <t>058</t>
  </si>
  <si>
    <t>Коробка монтажна пластикова Z1 W IP 55 (166*166*140)</t>
  </si>
  <si>
    <t>059</t>
  </si>
  <si>
    <t>Коробка монтажна пластикова Z2 W IP55 (250*165*138)</t>
  </si>
  <si>
    <t>9301-000</t>
  </si>
  <si>
    <t>Коробка монтажна пластикова Z3 W 1-3-3-4 IP55 (250*250*138)</t>
  </si>
  <si>
    <t>038</t>
  </si>
  <si>
    <t>Коробка монтажна пластикова 6, IP44, 380 В, 5*10</t>
  </si>
  <si>
    <t>039</t>
  </si>
  <si>
    <t>Коробка монтажна пластикова 6, IP44, 380 В, 5*25</t>
  </si>
  <si>
    <t>037</t>
  </si>
  <si>
    <t>Коробка монтажна пластикова 6, IP44, 380 В, 5*4</t>
  </si>
  <si>
    <t>040</t>
  </si>
  <si>
    <t>Коробка монтажна пластикова SB 41 25A/400V</t>
  </si>
  <si>
    <t>057+040</t>
  </si>
  <si>
    <t>Коробка монтажна пластикова SB IP 43 під автоматичний вимикач, що вкручується</t>
  </si>
  <si>
    <t>062</t>
  </si>
  <si>
    <t>Коробка монтажна пластикова SB-K-51 IP55 під автоматичний вимикач, що вкручується  (250*166*140)</t>
  </si>
  <si>
    <t>060</t>
  </si>
  <si>
    <t>Коробка монтажна пластикова SW-51 з кришкою, що відкривається</t>
  </si>
  <si>
    <t>061</t>
  </si>
  <si>
    <t>Коробка монтажна пластикова SW-K-51 IP55 під автоматичні вимикачі (250*166*140)</t>
  </si>
  <si>
    <t>9303-000</t>
  </si>
  <si>
    <t>Коробка монтажна пластикова Z3 W 1-3-3-4 IP55  (250*250*186)</t>
  </si>
  <si>
    <t>9303-001</t>
  </si>
  <si>
    <t>Коробка монтажна пластикова Z3 W 3-3-3-3 IP55  (250*250*186)</t>
  </si>
  <si>
    <t>9301-001</t>
  </si>
  <si>
    <t>Коробка монтажна пластикова  Z3 W 3-3-3-3 IP55  (250*250*138)</t>
  </si>
  <si>
    <t>9401-000</t>
  </si>
  <si>
    <t>Коробка монтажна пластикова Z4 IP55 (505*250*186)</t>
  </si>
  <si>
    <t>9402-000</t>
  </si>
  <si>
    <t>Коробка монтажна пластикова Z4 IP55 (505*250*186) з непрозорою кришкою</t>
  </si>
  <si>
    <t>9703-000</t>
  </si>
  <si>
    <t>Коробка монтажна пластикова ZP50 IP55 (505*250*204) c віконцем під 8-модулів</t>
  </si>
  <si>
    <t>6.Коробки монтажні OBO Bettermann</t>
  </si>
  <si>
    <t>2007077</t>
  </si>
  <si>
    <t>Коробка розподільча Obo Bettermann T 100, 150х116х67, IP 66, світлосіра, з кабельними вводами</t>
  </si>
  <si>
    <t>7205510</t>
  </si>
  <si>
    <t>Коробка розподільча Obo Bettermann FireBox T 100, 150х116х67, IP 65, без отвору для введення</t>
  </si>
  <si>
    <t>2007255</t>
  </si>
  <si>
    <t>Коробка розподільча Obo Bettermann T 100 OE, 150х116х67, IP 66, світлосіра, без отвору для введення</t>
  </si>
  <si>
    <t>2007093</t>
  </si>
  <si>
    <t>Коробка розподільча Obo Bettermann T 160, 190х150х77, IP 66, світлосіра, з кабельними вводами</t>
  </si>
  <si>
    <t>7205524</t>
  </si>
  <si>
    <t>Коробка розподільча Obo Bettermann FireBox T 160 E 10-5, 190x150x77, IP 65, без отвору для введення</t>
  </si>
  <si>
    <t>7205520</t>
  </si>
  <si>
    <t>Коробка розподільча Obo Bettermann FireBox T 160 E 4-8D, 190x150x77, IP 65, без отвору для введення</t>
  </si>
  <si>
    <t>2007271</t>
  </si>
  <si>
    <t>Коробка розподільча Obo Bettermann T 160 OE, 190x150x77, IP 66, світлосіра, без отвору для введення</t>
  </si>
  <si>
    <t>2007029</t>
  </si>
  <si>
    <t>Коробка розподільча Obo Bettermann T 25, d80, IP 65, світлосіра, з кабельними вводами</t>
  </si>
  <si>
    <t>2007109</t>
  </si>
  <si>
    <t>Коробка розподільча Obo Bettermann T 250, 240х190х95, IP 66, світлосіра, з кабельними вводами</t>
  </si>
  <si>
    <t>2007287</t>
  </si>
  <si>
    <t>Коробка розподільча Obo Bettermann T 250 OE, 240x190x95, IP 66, світлосіра, без отвору для введення</t>
  </si>
  <si>
    <t>2007125</t>
  </si>
  <si>
    <t>Коробка розподільча Obo Bettermann T 350, 285х201х120, IP 66, світлосіра, з кабельними вводами</t>
  </si>
  <si>
    <t>2007303</t>
  </si>
  <si>
    <t>Коробка розподільча Obo Bettermann T 350 OE, 285x201x120, IP 66, світлосіра, без отвору для введення</t>
  </si>
  <si>
    <t>2007045</t>
  </si>
  <si>
    <t>Коробка розподільча Obo Bettermann T 40, 90х90х52, IP 55, світлосіра, з кабельними вводами</t>
  </si>
  <si>
    <t>2007223</t>
  </si>
  <si>
    <t>Коробка розподільча Obo Bettermann T 40 OE</t>
  </si>
  <si>
    <t>2007061</t>
  </si>
  <si>
    <t>Коробка розподільча Obo Bettermann T 60, 114х114х57, IP 66, світлосіра, з кабельними вводами</t>
  </si>
  <si>
    <t>2007239</t>
  </si>
  <si>
    <t>Коробка розподільча Obo Bettermann T 60 OE, 114х114х57, IP 66, світлосіра, без отвору для введення</t>
  </si>
  <si>
    <t>7.Коробки монтажні металеві KR українського виробництва</t>
  </si>
  <si>
    <t>s062001</t>
  </si>
  <si>
    <t>Коробка розподільча металева e.db.stand.kr10.100.100.70</t>
  </si>
  <si>
    <t>s062004</t>
  </si>
  <si>
    <t>Коробка розподільча металева e.db.stand.kr10.100.100.70.ip54</t>
  </si>
  <si>
    <t>s062002</t>
  </si>
  <si>
    <t>Коробка розподільча металева e.db.stand.kr15.150.150.90</t>
  </si>
  <si>
    <t>s062005</t>
  </si>
  <si>
    <t>Коробка розподільча металева e.db.stand.kr15.150.150.90.ip54</t>
  </si>
  <si>
    <t>s062003</t>
  </si>
  <si>
    <t>Коробка розподільча металева e.db.stand.kr20.200.200.90</t>
  </si>
  <si>
    <t>s062006</t>
  </si>
  <si>
    <t>Коробка розподільча металева e.db.stand.kr20.200.200.90.ip54</t>
  </si>
  <si>
    <t>8.Коробки монтажні металеві серії TAREL</t>
  </si>
  <si>
    <t>016</t>
  </si>
  <si>
    <t>Коробка монтажна металева Р11/2, IP 44, 400 B, 5*2,5</t>
  </si>
  <si>
    <t>017</t>
  </si>
  <si>
    <t>Коробка монтажна металева Р11/3, IP 44, 400 B, 5*2,5</t>
  </si>
  <si>
    <t>015</t>
  </si>
  <si>
    <t>Коробка монтажна металева Р13,5/3, IP 55, 400 B, 5*4</t>
  </si>
  <si>
    <t>019</t>
  </si>
  <si>
    <t>Коробка монтажна металева Р16/2, IP 44, 400 B, 5*4</t>
  </si>
  <si>
    <t>022</t>
  </si>
  <si>
    <t>Коробка монтажна металева Р16/2, IP 44, 400 B, 5*6</t>
  </si>
  <si>
    <t>020</t>
  </si>
  <si>
    <t>Коробка монтажна металева Р16/3, IP 44, 400 B, 5*4</t>
  </si>
  <si>
    <t>023</t>
  </si>
  <si>
    <t>Коробка монтажна металева Р16/3, IP 44, 400 B, 5*6</t>
  </si>
  <si>
    <t>021</t>
  </si>
  <si>
    <t>Коробка монтажна металева Р16/4, IP 44, 400 B, 5*4</t>
  </si>
  <si>
    <t>025</t>
  </si>
  <si>
    <t>Коробка монтажна металева Р21/2, IP 44, 380 B, 5*10</t>
  </si>
  <si>
    <t>026</t>
  </si>
  <si>
    <t>Коробка монтажна металева Р21/3, IP 44, 380 B, 5*10</t>
  </si>
  <si>
    <t>027</t>
  </si>
  <si>
    <t>Коробка монтажна металева Р21/4, IP 44, 380 B, 5*10</t>
  </si>
  <si>
    <t>068/5</t>
  </si>
  <si>
    <t>Коробка монтажна металева Р36/3, IP 44, 380 B, 5*16</t>
  </si>
  <si>
    <t>068/6</t>
  </si>
  <si>
    <t>Коробка монтажна металева Р36/4, IP 44, 380 B, 5*16</t>
  </si>
  <si>
    <t>9.Коробки установочні DB українського виробництва серії STAND</t>
  </si>
  <si>
    <t>s027001</t>
  </si>
  <si>
    <t>Коробка установочна e.db.stand.100.d60 цегла/бетон, одиночна</t>
  </si>
  <si>
    <t>s0027018</t>
  </si>
  <si>
    <t>Коробка установочна e.db.stand.100.d60 цегла/бетон, одиночна (упаковка 100 шт.)</t>
  </si>
  <si>
    <t>s0027019</t>
  </si>
  <si>
    <t>Коробка установочна e.db.stand.100u.d60 цегла/бетон, одиночна (упаковка 100 шт.)</t>
  </si>
  <si>
    <t>s0270015</t>
  </si>
  <si>
    <t>Коробка установочна e.db.stand.100.d60.screw з шурупом цегла/бетон, одиночна</t>
  </si>
  <si>
    <t>s0027013</t>
  </si>
  <si>
    <t>Коробка установочна e.db.stand.100.d60.screw цегла/бетон з шурупом, одиночна (упаковка 100 шт.)</t>
  </si>
  <si>
    <t>s027002</t>
  </si>
  <si>
    <t>Коробка установочна e.db.stand.101.d60 цегла/бетон, блочна</t>
  </si>
  <si>
    <t>s0027017</t>
  </si>
  <si>
    <t>Коробка установочна e.db.stand.101.d60 цегла/бетон, блочна (упаковка 100 шт.)</t>
  </si>
  <si>
    <t>s0027015</t>
  </si>
  <si>
    <t>Коробка установочна e.db.stand.101u.d60 цегла/бетон, блочна (упаковка 100 шт.)</t>
  </si>
  <si>
    <t>s0027016</t>
  </si>
  <si>
    <t>Коробка установочна e.db.stand.101.d60.screw з шурупом цегла/бетон, блочна</t>
  </si>
  <si>
    <t>s0027014</t>
  </si>
  <si>
    <t>Коробка установочна e.db.stand.101.d60.screw з шурупом цегла/бетон, блочна (упаковка 100 шт.)</t>
  </si>
  <si>
    <t>s027008</t>
  </si>
  <si>
    <t>Коробка установочна e.db.stand.102.d60 цегла/бетон, блочна, глибока</t>
  </si>
  <si>
    <t>s027009</t>
  </si>
  <si>
    <t>Коробка установочна e.db.stand.103.d65 гіпсокартон, одиночна, упор ПВХ</t>
  </si>
  <si>
    <t>s0270019</t>
  </si>
  <si>
    <t>Коробка установочна e.db.stand.103u.d65 гіпсокартон, блочна, упор ПВХ</t>
  </si>
  <si>
    <t>s0270020</t>
  </si>
  <si>
    <t>Коробка установочна e.db.stand.103u.d65 (упаковка 100шт) гіпсокартон, блочна, упор ПВХ</t>
  </si>
  <si>
    <t>s0270021</t>
  </si>
  <si>
    <t>Коробка установочна e.db.stand.103u.d65 (упаковка 10шт) гіпсокартон, блочна, упор ПВХ</t>
  </si>
  <si>
    <t>s027003</t>
  </si>
  <si>
    <t>Коробка установочна e.db.stand.109.d65 гіпсокартон, блочна, упор ПВХ</t>
  </si>
  <si>
    <t>s027010</t>
  </si>
  <si>
    <t>Коробка установочна e.db.stand.203.d65 гіпсокартон, одиночна, упор металевий</t>
  </si>
  <si>
    <t>s027004</t>
  </si>
  <si>
    <t>Коробка установочна e.db.stand.209.d65 гіпсокартон, блочна, упор металевий</t>
  </si>
  <si>
    <t>7.Вироби для прокладки кабелю</t>
  </si>
  <si>
    <t>1.Арматура для СІП</t>
  </si>
  <si>
    <t>1.Затискачі</t>
  </si>
  <si>
    <t>1.Анкерні затискачі</t>
  </si>
  <si>
    <t>2.Анкерні ізольовані затискачі I.CLAMP серії PRO</t>
  </si>
  <si>
    <t>p022001</t>
  </si>
  <si>
    <t>Анкерний ізольований затискач e.i.clamp.pro.16.50.b, 16-50 кв.мм</t>
  </si>
  <si>
    <t>p022003</t>
  </si>
  <si>
    <t>Анкерний ізольований затискач e.i.clamp.pro.25.120.c, 25-120 кв.мм</t>
  </si>
  <si>
    <t>p022004</t>
  </si>
  <si>
    <t>Анкерний ізольований затискач e.i.clamp.pro.70.120.c, 70-120 кв.мм</t>
  </si>
  <si>
    <t>3.Анкерні ізольовані посилені затискачі I.CLAMP серії PRO</t>
  </si>
  <si>
    <t>p021009</t>
  </si>
  <si>
    <t>Анкерний ізольований затискач  e.i.clamp.2.16.25.zr, посилений, 16-25 кв.мм</t>
  </si>
  <si>
    <t>p021007</t>
  </si>
  <si>
    <t>Анкерний ізольований затискач  e.i.clamp.4.16.25.zr, посилений, 16-25 кв.мм</t>
  </si>
  <si>
    <t>p021008</t>
  </si>
  <si>
    <t>Анкерний ізольований затискач  e.i.clamp.4.25.70.zr, посилений, 25-70 кв.мм</t>
  </si>
  <si>
    <t>p0210010</t>
  </si>
  <si>
    <t>Анкерний ізольований затискач  e.i.clamp.4.70.120.zr, посилений, 70-120 кв.мм</t>
  </si>
  <si>
    <t>p021002</t>
  </si>
  <si>
    <t>Анкерний ізольований затискач  e.i.clamp.pro.16.25.a, посилений, 16-25 кв.мм</t>
  </si>
  <si>
    <t>4.Анкерні ізольовані затискачі з жорсткою скобою LA серії PRO</t>
  </si>
  <si>
    <t>p025003</t>
  </si>
  <si>
    <t>Анкерний ізольований затискач e.i.clamp.pro.la.1.s2, з жорсткою скобою</t>
  </si>
  <si>
    <t>p025004</t>
  </si>
  <si>
    <t>Анкерний ізольований затискач e.i.clamp.pro.la.1.s4, з жорсткою скобою</t>
  </si>
  <si>
    <t>5.Анкерні ізольовані затискачі на тросі ROPE серії PRO</t>
  </si>
  <si>
    <t>p027001</t>
  </si>
  <si>
    <t>Анкерний ізольований затискач e.i.clamp.pro.rope.25.70, 25-70 кв.мм, на тросі</t>
  </si>
  <si>
    <t>p027003</t>
  </si>
  <si>
    <t>Анкерний ізольований затискач e.i.clamp.pro.rope.50.70, 50-70 кв.мм, на тросі</t>
  </si>
  <si>
    <t>p027002</t>
  </si>
  <si>
    <t>Анкерний ізольований затискач e.i.clamp.pro.rope.70.120, 70-120 кв.мм, на тросі</t>
  </si>
  <si>
    <t>6.Анкерні ізольовані затискачі проволочні SI</t>
  </si>
  <si>
    <t>p025101</t>
  </si>
  <si>
    <t>Анкерний ізольований затискач e.i.clamp.si.2.16.35, з проволочною скобою</t>
  </si>
  <si>
    <t>p025102</t>
  </si>
  <si>
    <t>Анкерний ізольований затискач e.i.clamp.si.4.16.35, з проволочною скобою</t>
  </si>
  <si>
    <t>7.Анкерні затискачі серії TAREL</t>
  </si>
  <si>
    <t>010/1</t>
  </si>
  <si>
    <t>Анкерний затискач tarel.ukp.2.16.25 2х(16-25) мм.кв</t>
  </si>
  <si>
    <t>010</t>
  </si>
  <si>
    <t>Анкерний затискач tarel.ukp.4.16.25 4х(16-25) мм.кв</t>
  </si>
  <si>
    <t>063</t>
  </si>
  <si>
    <t>Анкерний затискач tarel.ukp.4.25.50 4х(25-50) мм.кв</t>
  </si>
  <si>
    <t>9004-000</t>
  </si>
  <si>
    <t>Анкерний затискач tarel.ukp.4.70.120 4х(70-120) мм.кв</t>
  </si>
  <si>
    <t>2.Підвісні затискачі</t>
  </si>
  <si>
    <t>2.Підвісні затискачі H.CLAMP серії PRO</t>
  </si>
  <si>
    <t>p026001</t>
  </si>
  <si>
    <t>Підвісний затискач e.h.clamp.pro.1a.25.120, 25-120 кв.мм, тип А</t>
  </si>
  <si>
    <t>3.Підвісні затискачі с затиском H.CLAMP серії PRO</t>
  </si>
  <si>
    <t>p024001</t>
  </si>
  <si>
    <t>Підвісний затискач e.h.clamp.pro.16.gath, з затиском , 16 кв.мм</t>
  </si>
  <si>
    <t>p024002</t>
  </si>
  <si>
    <t>Підвісний затискач e.h.clamp.pro.25.gath, з затиском , 25 кв.мм</t>
  </si>
  <si>
    <t>p024003</t>
  </si>
  <si>
    <t>Підвісний затискач e.h.clamp.pro.35.50.gath, з затиском , 35-50 кв.мм</t>
  </si>
  <si>
    <t>p024004</t>
  </si>
  <si>
    <t>Підвісний затискач e.h.clamp.pro.70.95.gath, з затиском , 70-95 кв.мм</t>
  </si>
  <si>
    <t>4.Підвісні затискачі з затяжним болтом H.CLAMP серії E.PRO</t>
  </si>
  <si>
    <t>p029001</t>
  </si>
  <si>
    <t>Підвісний затискач e.h.clamp.pro.16.35, 16-35 кв.мм, з затяжним болтом</t>
  </si>
  <si>
    <t>p029002</t>
  </si>
  <si>
    <t>Підвісний затискач e.h.clamp.pro.50.95, 50-95 кв.мм, з затяжним болтом</t>
  </si>
  <si>
    <t>5.Підвісний затискач універсальний UNI</t>
  </si>
  <si>
    <t>p029101</t>
  </si>
  <si>
    <t>Підвісний затискач універсальний e.h.clamp.uni.2.25.4.120, 2x25 - 4x120 мм2</t>
  </si>
  <si>
    <t>6.Підвісні затискачі серії TAREL</t>
  </si>
  <si>
    <t>094</t>
  </si>
  <si>
    <t>Підвісний затискач tarel.ukp.4.06.25.prz 4х(6-25) мм.кв.</t>
  </si>
  <si>
    <t>074</t>
  </si>
  <si>
    <t>Універсальний підвісний затискач tarel.univ.4.16.120 4х(16-120)</t>
  </si>
  <si>
    <t>3.Проколюючі затискачі</t>
  </si>
  <si>
    <t>2.Проколюючі затискачі PRINKING серії PRO</t>
  </si>
  <si>
    <t>p028010</t>
  </si>
  <si>
    <t>Відгалужувальний затискач e.branch.clamp.f.70.2.6.35, (AsXS)70 кв.мм / 2x6-35кв.мм</t>
  </si>
  <si>
    <t>p028004</t>
  </si>
  <si>
    <t>Проколюючий затискач e.pricking.clamp.pro.10.70.1.5.10, 10-70 кв.мм/1,5-10кв.мм</t>
  </si>
  <si>
    <t>p028005</t>
  </si>
  <si>
    <t>Проколюючий затискач e.pricking.clamp.pro.16.120.16.120, 16-120 кв.мм/16-120кв.мм</t>
  </si>
  <si>
    <t>p028001</t>
  </si>
  <si>
    <t>Проколюючий затискач e.pricking.clamp.pro.16.95.4.50, 16-95 кв.мм/4-50кв.мм</t>
  </si>
  <si>
    <t>p028002</t>
  </si>
  <si>
    <t>Проколюючий затискач e.pricking.clamp.pro.50.150.6.50, 50-150 кв.мм/6-50кв.мм</t>
  </si>
  <si>
    <t>p028012</t>
  </si>
  <si>
    <t>Ізольований проколюючий затискач e.pricking.clamp.pro.10.95.10.95, 10-95 кв.мм/10-95 кв. мм</t>
  </si>
  <si>
    <t>p028011</t>
  </si>
  <si>
    <t>Ізольований проколюючий затискач e.pricking.clamp.pro.25.95.2,5.95, 25-95 кв.мм/2,5-95 кв. мм</t>
  </si>
  <si>
    <t>p028009</t>
  </si>
  <si>
    <t>Проколюючий затискач e.pricking.clamp.pro.16.50.16.50, (AsXS)16-50 кв.мм / (AsXS)16-50кв.мм</t>
  </si>
  <si>
    <t>p028007</t>
  </si>
  <si>
    <t>Проколюючий затискач e.pricking.clamp.pro.25.95.2.5.35, 25-95 кв.мм/2,5-35кв.мм</t>
  </si>
  <si>
    <t>p028008</t>
  </si>
  <si>
    <t>Проколюючий затискач e.pricking.clamp.pro.4.35.16.70, (AsXS)4-35 кв.мм / (AL)16-70кв.мм</t>
  </si>
  <si>
    <t>p028006</t>
  </si>
  <si>
    <t>Проколюючий затискач e.pricking.clamp.pro.4.35.50.150, 4-35 кв.мм/50-150кв.мм</t>
  </si>
  <si>
    <t>p028003</t>
  </si>
  <si>
    <t>Проколюючий затискач e.pricking.clamp.pro.50.240.50.120, 50-240 кв.мм/50-120кв.мм</t>
  </si>
  <si>
    <t>3.Скоба заземлення EARTH</t>
  </si>
  <si>
    <t>p061002</t>
  </si>
  <si>
    <t>Скоба заземлення e.bracket.earth.35</t>
  </si>
  <si>
    <t>p061003</t>
  </si>
  <si>
    <t>Комплект для переносного заземлення ПЗЛ 10</t>
  </si>
  <si>
    <t>5.Проколюючі затискачі серії TAREL</t>
  </si>
  <si>
    <t>071</t>
  </si>
  <si>
    <t>Відгалужувальний проколюючий затискач  tarel.zpi.071 ZP1 (Al 35-70; AsXS 16-35)</t>
  </si>
  <si>
    <t>072</t>
  </si>
  <si>
    <t>Відгалужувальний проколюючий затискач tarel.zpi.072  ZP2 (AsXs 35-70; Cu/Al 2.5-25)</t>
  </si>
  <si>
    <t>073</t>
  </si>
  <si>
    <t>Відгалужувальний проколюючий затискач  tarel.zpi.073 ZP3 (AsXS 35-70; AsXS 16-35)</t>
  </si>
  <si>
    <t>077</t>
  </si>
  <si>
    <t>Відгалужувальний проколюючий затискач  tarel.zpi.077 ZP77 (AsXS 35-95; AsXS 16-50)</t>
  </si>
  <si>
    <t>078</t>
  </si>
  <si>
    <t>Відгалужувальний проколюючий затискач  tarel.zpi.078 ZP78 (Al 16-95; AsXS 16-50)</t>
  </si>
  <si>
    <t>9031-295</t>
  </si>
  <si>
    <t>Відгалужувальний проколюючий затискач  tarel.zpi.120.1 ZP120.1 (AsXS35-120; AsXS 35-120)</t>
  </si>
  <si>
    <t>9041-294</t>
  </si>
  <si>
    <t>Відгалужувальний проколюючий затискач  tarel.zpi.120.2 ZP120.2 (AsXS35-120; Al 25-95)</t>
  </si>
  <si>
    <t>9031-185</t>
  </si>
  <si>
    <t>Відгалужувальний проколюючий затискач  tarel.zpi.95.1 ZP95.1 (AsXS35-95; AsXS 35-95)</t>
  </si>
  <si>
    <t>9041-184</t>
  </si>
  <si>
    <t>Відгалужувальний проколюючий затискач  tarel.zpi.95.2 ZP95.2 (AsXS35-95; Al 25-95)</t>
  </si>
  <si>
    <t>6.Проколюючі затискачі BZO</t>
  </si>
  <si>
    <t>bzo-03</t>
  </si>
  <si>
    <t>Проколюючий затискач BZO-03  для освітлення  (16-35 AsXs / 2.5-4)</t>
  </si>
  <si>
    <t>bzo-04</t>
  </si>
  <si>
    <t>Проколюючий затискач BZO-04 для освітлення (25-70 Al / 2.5-4)</t>
  </si>
  <si>
    <t>4.Плашкові затискачі PA, PS</t>
  </si>
  <si>
    <t>p052001</t>
  </si>
  <si>
    <t>Плашковий затискач e.clamp.pa.1.1</t>
  </si>
  <si>
    <t>p052002</t>
  </si>
  <si>
    <t>Плашковий затискач e.clamp.pa.2.2a</t>
  </si>
  <si>
    <t>p052007</t>
  </si>
  <si>
    <t>Плашковий затискач e.clamp.pa.3.2</t>
  </si>
  <si>
    <t>p052006</t>
  </si>
  <si>
    <t>Плашковий затискач e.clamp.pa.5.1</t>
  </si>
  <si>
    <t>p052034</t>
  </si>
  <si>
    <t>Плашковий затискач e.clamp.paom.1.1</t>
  </si>
  <si>
    <t>p052003</t>
  </si>
  <si>
    <t>Плашковий затискач e.clamp.ps.1.1</t>
  </si>
  <si>
    <t>p052004</t>
  </si>
  <si>
    <t>Плашковий затискач e.clamp.ps.2.1</t>
  </si>
  <si>
    <t>5.Затискачі ізольовані для розподільних пристроїв</t>
  </si>
  <si>
    <t>p023001</t>
  </si>
  <si>
    <t>Ізольований затискач e.i.clamp.pro.fhc.a для розподільних пристроїв, тип A</t>
  </si>
  <si>
    <t>p023002</t>
  </si>
  <si>
    <t>Ізольований затискач e.i.clamp.pro.fhc.b для розподільних пристроїв, тип B</t>
  </si>
  <si>
    <t>p023003</t>
  </si>
  <si>
    <t>Ізольований затискач e.pricking.clamp.pro.0.75.6  для розподільних пристроїв</t>
  </si>
  <si>
    <t>2.Гаки та болти</t>
  </si>
  <si>
    <t>1.Анкерні гаки HOOK серії PRO</t>
  </si>
  <si>
    <t>p037010</t>
  </si>
  <si>
    <t>Анкерний гак e.anchor.hook.pro.M10.12.100, М10, 12х100мм</t>
  </si>
  <si>
    <t>p037011</t>
  </si>
  <si>
    <t>Анкерний гак e.anchor.hook.pro.M10.12.130, М10, 12х130мм</t>
  </si>
  <si>
    <t>p037012</t>
  </si>
  <si>
    <t>Анкерний посилений гак e.anchor.hook.pro.M10.15.75.a, М10, 15х75мм</t>
  </si>
  <si>
    <t>p037013</t>
  </si>
  <si>
    <t>Напівзакритий анкерний гак e.anchor.hook.pro.M8.12.140 (LHH-12140)</t>
  </si>
  <si>
    <t>2.Прохідні болти BOLT серії PRO</t>
  </si>
  <si>
    <t>p033001</t>
  </si>
  <si>
    <t>Прохідний болт e.com.bolt.pro.240.16, 240 мм, М16</t>
  </si>
  <si>
    <t>p033004</t>
  </si>
  <si>
    <t>Прохідний болт e.com.bolt.pro.240.20, 240 мм, М20</t>
  </si>
  <si>
    <t>p033002</t>
  </si>
  <si>
    <t>Прохідний болт e.com.bolt.pro.280.16, 280 мм, М16</t>
  </si>
  <si>
    <t>p033005</t>
  </si>
  <si>
    <t>Прохідний болт e.com.bolt.pro.280.20, 280 мм, М20</t>
  </si>
  <si>
    <t>p033003</t>
  </si>
  <si>
    <t>Прохідний болт e.com.bolt.pro.360.16, 360 мм, М16</t>
  </si>
  <si>
    <t>p033006</t>
  </si>
  <si>
    <t>Прохідний болт e.com.bolt.pro.360.20, 360 мм, М20</t>
  </si>
  <si>
    <t>3.Кутові гаки ANGLE серії PRO</t>
  </si>
  <si>
    <t>p035001</t>
  </si>
  <si>
    <t>Кутовий гак e.angle.hook.pro.16.16.206, 206мм, М16</t>
  </si>
  <si>
    <t>p035002</t>
  </si>
  <si>
    <t>Кутовий гак e.angle.hook.pro.20.20.208, 208мм, М20</t>
  </si>
  <si>
    <t>p035003</t>
  </si>
  <si>
    <t>Кутовий гак e.angle.hook.pro.24.25.290, 290мм, М24</t>
  </si>
  <si>
    <t>4.Гаки-гайки NUT серії PRO</t>
  </si>
  <si>
    <t>p034001</t>
  </si>
  <si>
    <t>Гак-гайка e.nut.hook.pro.38.16, D38, М16</t>
  </si>
  <si>
    <t>p034002</t>
  </si>
  <si>
    <t>Гак-гайка e.nut.hook.pro.38.20, D38, М20</t>
  </si>
  <si>
    <t>5.Наскрізні гаки THROUGH серії PRO</t>
  </si>
  <si>
    <t>p031001</t>
  </si>
  <si>
    <t>Наскрізний гак e.through.hook.pro.200.16, 200мм, М16</t>
  </si>
  <si>
    <t>p031004</t>
  </si>
  <si>
    <t>Наскрізний гак e.through.hook.pro.200.20, 200мм, М20</t>
  </si>
  <si>
    <t>p031002</t>
  </si>
  <si>
    <t>Наскрізний гак e.through.hook.pro.240.16, 240мм, М16</t>
  </si>
  <si>
    <t>p031005</t>
  </si>
  <si>
    <t>Наскрізний гак e.through.hook.pro.240.20, 240мм, М20</t>
  </si>
  <si>
    <t>p031003</t>
  </si>
  <si>
    <t>Наскрізний гак e.through.hook.pro.320.16, 320мм, М16</t>
  </si>
  <si>
    <t>p031006</t>
  </si>
  <si>
    <t>Наскрізний гак e.through.hook.pro.320.20, 320мм, М20</t>
  </si>
  <si>
    <t>p031007</t>
  </si>
  <si>
    <t>Наскрізний гак e.through.hook.pro.350.20, 350мм, М20</t>
  </si>
  <si>
    <t>6.Наскрізні гаки із запобіжною пластиною серії PRO</t>
  </si>
  <si>
    <t>p032001</t>
  </si>
  <si>
    <t>Наскрізний гак e.through.hook.pro.250.20.s, 200мм, М20 із запобіжною пластиною</t>
  </si>
  <si>
    <t>p032002</t>
  </si>
  <si>
    <t>Наскрізний гак e.through.hook.pro.310.20.s, 240мм, М20 із запобіжною пластиною</t>
  </si>
  <si>
    <t>7.Настінні гаки WALL серії PRO</t>
  </si>
  <si>
    <t>p038001</t>
  </si>
  <si>
    <t>Настінний гак e.wall.hook.pro.16.18, 16х18мм</t>
  </si>
  <si>
    <t>8.Бандажні гаки BRACER серії PRO</t>
  </si>
  <si>
    <t>p037001</t>
  </si>
  <si>
    <t>Бандажний гак e.bracer.hook.pro.16.18, 16х18мм</t>
  </si>
  <si>
    <t>p037002</t>
  </si>
  <si>
    <t>Бандажний гак e.bracer.hook.pro.20.19, 20х19мм</t>
  </si>
  <si>
    <t>p037286</t>
  </si>
  <si>
    <t>Гак бандажний КРБ.16</t>
  </si>
  <si>
    <t>9.Універсальні гаки та кронштейни UNI</t>
  </si>
  <si>
    <t>p039002</t>
  </si>
  <si>
    <t>Універсальний кронштейн e.uni.bracket</t>
  </si>
  <si>
    <t>p039001</t>
  </si>
  <si>
    <t>Універсальний гак e.uni.hook.pro.16.18, 16х18мм</t>
  </si>
  <si>
    <t>p039252</t>
  </si>
  <si>
    <t>Гак універсальний КРУ.16</t>
  </si>
  <si>
    <t>3.Стрічки бандажні і скріпи BAND, FASTENER</t>
  </si>
  <si>
    <t>p040003</t>
  </si>
  <si>
    <t>Сталева бандажна стрічка e.steel.band.pro.6,5.50.30, 6,5х0,50мм, 30м</t>
  </si>
  <si>
    <t>p040004</t>
  </si>
  <si>
    <t>Сталева бандажна стрічка e.steel.band.pro.9,5.65.30, 9,5х0,65мм, 30м</t>
  </si>
  <si>
    <t>p040005</t>
  </si>
  <si>
    <t>Сталева бандажна стрічка e.steel.band.pro.12,7.75.30, 12,7х0,75мм, 30м</t>
  </si>
  <si>
    <t>p040006</t>
  </si>
  <si>
    <t>Сталева бандажна стрічка e.steel.band.pro.16.75.30, 16х0,75мм, 30м</t>
  </si>
  <si>
    <t>p040007</t>
  </si>
  <si>
    <t>Сталева бандажна стрічка e.steel.band.pro.16.75.50, 16х0,75мм, 50м</t>
  </si>
  <si>
    <t>p040008</t>
  </si>
  <si>
    <t>Сталева бандажна стрічка e.steel.band.pro.19.75.30, 19х0,75мм, 30м</t>
  </si>
  <si>
    <t>p040009</t>
  </si>
  <si>
    <t>Сталева бандажна стрічка e.steel.band.pro.19.75.50, 19х0,75мм, 50м</t>
  </si>
  <si>
    <t>p040015</t>
  </si>
  <si>
    <t>Сталева бандажна стрічка ізольована PPA e.steel.band.ppa.16.75.25, 16х0,75мм, 25м</t>
  </si>
  <si>
    <t>p040016</t>
  </si>
  <si>
    <t>Сталева бандажна стрічка ізольована PPA e.steel.band.ppa.19.75.25, 19х0,75мм, 25м</t>
  </si>
  <si>
    <t>p040010</t>
  </si>
  <si>
    <t>Сталева скріпа e.steel.fastener.pro.6,5</t>
  </si>
  <si>
    <t>p040011</t>
  </si>
  <si>
    <t>Сталева скріпа e.steel.fastener.pro.9,5</t>
  </si>
  <si>
    <t>p040012</t>
  </si>
  <si>
    <t>Сталева скріпа e.steel.fastener.pro.12,7</t>
  </si>
  <si>
    <t>p040013</t>
  </si>
  <si>
    <t>Сталева скріпа e.steel.fastener.pro.16</t>
  </si>
  <si>
    <t>p040014</t>
  </si>
  <si>
    <t>Сталева скріпа e.steel.fastener.pro.19</t>
  </si>
  <si>
    <t>p042211</t>
  </si>
  <si>
    <t>Скріпа СК</t>
  </si>
  <si>
    <t>4.Гільзи з'єднувальні для СІП TUBE серії PRO</t>
  </si>
  <si>
    <t>p048004</t>
  </si>
  <si>
    <t>Гільзи з'єднувальні ізольовані e.tube.pro.ins.a.16.16 для провода 16 мм.кв.</t>
  </si>
  <si>
    <t>p048003</t>
  </si>
  <si>
    <t>Гільзи з'єднувальні ізольовані e.tube.pro.ins.a.25.25 для провода 25 мм.кв.</t>
  </si>
  <si>
    <t>p048010</t>
  </si>
  <si>
    <t>Гільзи з'єднувальні ізольовані e.tube.pro.ins.a.35.25 для провода 25-35 мм.кв.</t>
  </si>
  <si>
    <t>p048002</t>
  </si>
  <si>
    <t>Гільзи з'єднувальні ізольовані e.tube.pro.ins.a.35.35 для провода 35 мм.кв.</t>
  </si>
  <si>
    <t>p048008</t>
  </si>
  <si>
    <t>Гільзи з'єднувальні ізольовані e.tube.pro.ins.a.50.35 для провода 35-50 мм.кв.</t>
  </si>
  <si>
    <t>p048001</t>
  </si>
  <si>
    <t>Гільзи з'єднувальні ізольовані e.tube.pro.ins.a.50.50 для провода 50 мм.кв.</t>
  </si>
  <si>
    <t>p048009</t>
  </si>
  <si>
    <t>Гільзи з'єднувальні ізольовані e.tube.pro.ins.a.70.50 для провода 50-70 мм.кв.</t>
  </si>
  <si>
    <t>p048005</t>
  </si>
  <si>
    <t>Гільзи з'єднувальні ізольовані e.tube.pro.ins.a.70.70 для провода 70 мм.кв.</t>
  </si>
  <si>
    <t>p048006</t>
  </si>
  <si>
    <t>Гільзи з'єднувальні ізольовані e.tube.pro.ins.a.95.95 для провода 95 мм.кв.</t>
  </si>
  <si>
    <t>p048007</t>
  </si>
  <si>
    <t>Гільзи з'єднувальні ізольовані e.tube.pro.ins.a.120.120 для провода 120 мм.кв.</t>
  </si>
  <si>
    <t>5. Наконечники кабельні ізольовані для СІП серії PRO</t>
  </si>
  <si>
    <t>p0630005</t>
  </si>
  <si>
    <t>Наконечник кабельний ізольований e.end.pro.cptau.16, 16 кв.мм</t>
  </si>
  <si>
    <t>p0630006</t>
  </si>
  <si>
    <t>Наконечник кабельний ізольований e.end.pro.cptau.25, 25 кв.мм</t>
  </si>
  <si>
    <t>p0630007</t>
  </si>
  <si>
    <t>Наконечник кабельний ізольований e.end.pro.cptau.35, 35 кв.мм</t>
  </si>
  <si>
    <t>p0630001</t>
  </si>
  <si>
    <t>Наконечник кабельний ізольований e.end.pro.cptau.50, 50 кв.мм</t>
  </si>
  <si>
    <t>p0630002</t>
  </si>
  <si>
    <t>Наконечник кабельний ізольований e.end.pro.cptau.70, 70 кв.мм</t>
  </si>
  <si>
    <t>p0630003</t>
  </si>
  <si>
    <t>Наконечник кабельний ізольований e.end.pro.cptau.95, 95 кв.мм</t>
  </si>
  <si>
    <t>p0630004</t>
  </si>
  <si>
    <t>Наконечник кабельний ізольований e.end.pro.cptau.120, 120 кв.мм</t>
  </si>
  <si>
    <t>6. Обмежувачі перенапруги EBB</t>
  </si>
  <si>
    <t>1.Обмежувачі перенапруги EBB без індикації</t>
  </si>
  <si>
    <t>PZ-M1 280/10</t>
  </si>
  <si>
    <t>Обмежувач перенапруги PZ-M1 280/10</t>
  </si>
  <si>
    <t>PZ-M1 280/5</t>
  </si>
  <si>
    <t>Обмежувач перенапруги PZ-M1 280/5</t>
  </si>
  <si>
    <t>PZ-M1 440/5</t>
  </si>
  <si>
    <t>Обмежувач перенапруги PZ-M1 440/5</t>
  </si>
  <si>
    <t>PZ-M1 660/5</t>
  </si>
  <si>
    <t>Обмежувач перенапруги PZ-M1 660/5</t>
  </si>
  <si>
    <t>2.Обмежувачі перенапруги EBB з індикацією</t>
  </si>
  <si>
    <t>PZ-A 280/10-O</t>
  </si>
  <si>
    <t>Обмежувач перенапруги PZ-A 280/10-O</t>
  </si>
  <si>
    <t>PZ-A 280/5-O</t>
  </si>
  <si>
    <t>Обмежувач перенапруги PZ-A 280/5-O</t>
  </si>
  <si>
    <t>PZ-A 440/10-O</t>
  </si>
  <si>
    <t>Обмежувач перенапруги PZ-A 440/10-O</t>
  </si>
  <si>
    <t>3.Аксесуари</t>
  </si>
  <si>
    <t>G/ASA-A</t>
  </si>
  <si>
    <t>Затискач G для ASA-A</t>
  </si>
  <si>
    <t>D/PZ-M</t>
  </si>
  <si>
    <t>З'єднувальний кабель тип D</t>
  </si>
  <si>
    <t>7.Дюбель з хомутом HOLDER серії PRO</t>
  </si>
  <si>
    <t>p046001</t>
  </si>
  <si>
    <t>Дюбель з хомутом e.holder.pro під цвях</t>
  </si>
  <si>
    <t>p046003</t>
  </si>
  <si>
    <t>Дюбель з хомутом e.holder.pro.60 під цвях, дистанційний 60мм</t>
  </si>
  <si>
    <t>p046002</t>
  </si>
  <si>
    <t>Дюбель з хомутом e.holder.pro.s під гвинт</t>
  </si>
  <si>
    <t>098</t>
  </si>
  <si>
    <t>Затискач дистанційний tarel.ukd.4.120.2.25 (діаметр зв'язки до 46 мм)</t>
  </si>
  <si>
    <t>8.Сжим відгалужувальний</t>
  </si>
  <si>
    <t>у-731</t>
  </si>
  <si>
    <t>Сжим відгалужувальний У731</t>
  </si>
  <si>
    <t>у-733</t>
  </si>
  <si>
    <t>Сжим відгалужувальний У733</t>
  </si>
  <si>
    <t>у-734</t>
  </si>
  <si>
    <t>Сжим відгалужувальний У734</t>
  </si>
  <si>
    <t>9. Стяжки кабельні стійкі до ультрафіолету UV</t>
  </si>
  <si>
    <t>p0640001</t>
  </si>
  <si>
    <t>Кабельна стяжка e.ct.uv.115.6, 115х6мм стійка до ультрафіолету</t>
  </si>
  <si>
    <t>p0640002</t>
  </si>
  <si>
    <t>Кабельна стяжка e.ct.uv.180.6, 180х6мм стійка до ультрафіолету</t>
  </si>
  <si>
    <t>p0640003</t>
  </si>
  <si>
    <t>Кабельна стяжка e.ct.uv.180.9, 180х9мм стійка до ультрафіолету</t>
  </si>
  <si>
    <t>p0640004</t>
  </si>
  <si>
    <t>Кабельна стяжка e.ct.uv.260.9, 260х9мм стійка до ультрафіолету</t>
  </si>
  <si>
    <t>p0640005</t>
  </si>
  <si>
    <t>Кабельна стяжка e.ct.uv.350.9, 350х9мм стійка до ультрафіолету</t>
  </si>
  <si>
    <t>10.Еластомірні ковпачки INS</t>
  </si>
  <si>
    <t>p047002</t>
  </si>
  <si>
    <t>Ковпачок кабельний e.end.ins.6.50 гумовий</t>
  </si>
  <si>
    <t>p047003</t>
  </si>
  <si>
    <t>Ковпачок кабельний e.end.ins.16.150 гумовий</t>
  </si>
  <si>
    <t>p047001</t>
  </si>
  <si>
    <t>Ковпачок кабельний e.end.ins.50.240 гумовий</t>
  </si>
  <si>
    <t>11.Ковпачки типу К</t>
  </si>
  <si>
    <t>K-5</t>
  </si>
  <si>
    <t>Ковпачок К-5</t>
  </si>
  <si>
    <t>K-6</t>
  </si>
  <si>
    <t>Ковпачок К-6</t>
  </si>
  <si>
    <t>12.Інструмент для монтажу СІП</t>
  </si>
  <si>
    <t>p0470003</t>
  </si>
  <si>
    <t>Кабельна панчоха e.cable.grip.10.20,  діаметр кабелю 10-20мм</t>
  </si>
  <si>
    <t>p0470004</t>
  </si>
  <si>
    <t>Кабельна панчоха e.cable.grip.20.30,  діаметр кабелю 20-30мм</t>
  </si>
  <si>
    <t>p0470005</t>
  </si>
  <si>
    <t>Кабельна панчоха e.cable.grip.30.40,  діаметр кабелю 30-40мм</t>
  </si>
  <si>
    <t>p0470006</t>
  </si>
  <si>
    <t>Ролік для підвіски кабелю e.roll.150</t>
  </si>
  <si>
    <t>p0470009</t>
  </si>
  <si>
    <t>Затискач e.selfgrip.clamp.16.32 самозатискний універсальний</t>
  </si>
  <si>
    <t>p0470007</t>
  </si>
  <si>
    <t>Вертлюг для підвіски кабелю e.swivel.120.35.20kn</t>
  </si>
  <si>
    <t>p0470002</t>
  </si>
  <si>
    <t>Інструмент e.tool.tension.b.20 для бандажної стрічки</t>
  </si>
  <si>
    <t>p0470011</t>
  </si>
  <si>
    <t>Клин e.tool.wedge (комплект 2 шт.)</t>
  </si>
  <si>
    <t>p0470010</t>
  </si>
  <si>
    <t>Лебідка e.winch.tightener.2000</t>
  </si>
  <si>
    <t>2.Короб пластиковий</t>
  </si>
  <si>
    <t>1.Короб пластиковий TRUNKING серії STAND</t>
  </si>
  <si>
    <t>s033001</t>
  </si>
  <si>
    <t>Короб пластиковий e.trunking.stand.12.12, 12х12мм, 2м</t>
  </si>
  <si>
    <t>s033002</t>
  </si>
  <si>
    <t>Короб пластиковий e.trunking.stand.15.10, 15х10мм, 2м</t>
  </si>
  <si>
    <t>s033003</t>
  </si>
  <si>
    <t>Короб пластиковий e.trunking.stand.16.16, 16х16мм, 2м</t>
  </si>
  <si>
    <t>s033004</t>
  </si>
  <si>
    <t>Короб пластиковий e.trunking.stand.20.10, 20х10мм, 2м</t>
  </si>
  <si>
    <t>s033005</t>
  </si>
  <si>
    <t>Короб пластиковий e.trunking.stand.25.16, 25х16мм, 2м</t>
  </si>
  <si>
    <t>s033016</t>
  </si>
  <si>
    <t>Короб пластиковий e.trunking.stand.25.25, 25х25мм, 2м</t>
  </si>
  <si>
    <t>s033006</t>
  </si>
  <si>
    <t>Короб пластиковий e.trunking.stand.40.16, 40х16мм, 2м</t>
  </si>
  <si>
    <t>s033007</t>
  </si>
  <si>
    <t>Короб пластиковий e.trunking.stand.40.25, 40х25мм, 2м</t>
  </si>
  <si>
    <t>s033008</t>
  </si>
  <si>
    <t>Короб пластиковий e.trunking.stand.40.40, 40х40мм, 2м</t>
  </si>
  <si>
    <t>s033009</t>
  </si>
  <si>
    <t>Короб пластиковий e.trunking.stand.60.40, 60х40мм, 2м</t>
  </si>
  <si>
    <t>s033018</t>
  </si>
  <si>
    <t>Короб пластиковий e.trunking.stand.60.60, 60х60мм, 2м</t>
  </si>
  <si>
    <t>s033010</t>
  </si>
  <si>
    <t>Короб пластиковий e.trunking.stand.80.60, 80х60мм, 2м</t>
  </si>
  <si>
    <t>s033011</t>
  </si>
  <si>
    <t>Короб пластиковий e.trunking.stand.100.40, 100х40мм, 2м</t>
  </si>
  <si>
    <t>s033012</t>
  </si>
  <si>
    <t>Короб пластиковий e.trunking.stand.100.60, 100х60мм, 2м</t>
  </si>
  <si>
    <t>2.Короб пластиковий перфоровані PERF серії STAND</t>
  </si>
  <si>
    <t>s13033002</t>
  </si>
  <si>
    <t>Короб пластиковий перфорований e.trunking.perf.stand.15.20, 15х20мм, 2м</t>
  </si>
  <si>
    <t>s13033004</t>
  </si>
  <si>
    <t>Короб пластиковий перфорований e.trunking.perf.stand.15.30, 15х30мм, 2м</t>
  </si>
  <si>
    <t>s13033003</t>
  </si>
  <si>
    <t>Короб пластиковий перфорований e.trunking.perf.stand.20.20, 20х20мм, 2м</t>
  </si>
  <si>
    <t>s13033005</t>
  </si>
  <si>
    <t>Короб пластиковий перфорований e.trunking.perf.stand.20.30, 20х30мм, 2м</t>
  </si>
  <si>
    <t>s13033017</t>
  </si>
  <si>
    <t>Короб пластиковий перфорований e.trunking.perf.stand.25.25, 25х25мм, блакитний 2м</t>
  </si>
  <si>
    <t>s13033018</t>
  </si>
  <si>
    <t>Короб пластиковий перфорований e.trunking.perf.stand.25.40, 25х40мм, блакитний 2м</t>
  </si>
  <si>
    <t>s13033019</t>
  </si>
  <si>
    <t>Короб пластиковий перфорований e.trunking.perf.stand.25.60, 25х60мм, блакитний 2м</t>
  </si>
  <si>
    <t>s13033013</t>
  </si>
  <si>
    <t>Короб пластиковий перфорований e.trunking.perf.stand.25.65, 25х65мм, 2м</t>
  </si>
  <si>
    <t>s13033006</t>
  </si>
  <si>
    <t>Короб пластиковий перфорований e.trunking.perf.stand.30.30, 30х30мм, 2м</t>
  </si>
  <si>
    <t>s13033007</t>
  </si>
  <si>
    <t>Короб пластиковий перфорований e.trunking.perf.stand.30.50, 30х50мм, 2м</t>
  </si>
  <si>
    <t>s13033020</t>
  </si>
  <si>
    <t>Короб пластиковий перфорований e.trunking.perf.stand.40.40, 40х40мм, блакитний 2м</t>
  </si>
  <si>
    <t>s13033008</t>
  </si>
  <si>
    <t>Короб пластиковий перфорований e.trunking.perf.stand.40.50, 40х50мм, 2м</t>
  </si>
  <si>
    <t>s13033021</t>
  </si>
  <si>
    <t>Короб пластиковий перфорований e.trunking.perf.stand.40.60, 40х60мм, блакитний 2м</t>
  </si>
  <si>
    <t>s13033022</t>
  </si>
  <si>
    <t>Короб пластиковий перфорований e.trunking.perf.stand.40.80, 40х80мм, блакитний 2м</t>
  </si>
  <si>
    <t>s13033001</t>
  </si>
  <si>
    <t>Короб пластиковий перфорований e.trunking.perf.stand.45.65, 45х65мм, 2м</t>
  </si>
  <si>
    <t>s13033009</t>
  </si>
  <si>
    <t>Короб пластиковий перфорований e.trunking.perf.stand.50.50, 50х50мм, 2м</t>
  </si>
  <si>
    <t>s13033023</t>
  </si>
  <si>
    <t>Короб пластиковий перфорований e.trunking.perf.stand.60.40, 60х40мм, блакитний 2м</t>
  </si>
  <si>
    <t>s13033010</t>
  </si>
  <si>
    <t>Короб пластиковий перфорований e.trunking.perf.stand.60.50, 60х50мм, 2м</t>
  </si>
  <si>
    <t>s13033024</t>
  </si>
  <si>
    <t>Короб пластиковий перфорований e.trunking.perf.stand.60.60, 60х60мм, блакитний 2м</t>
  </si>
  <si>
    <t>s13033015</t>
  </si>
  <si>
    <t>Короб пластиковий перфорований e.trunking.perf.stand.65.65, 65х65мм, 2м</t>
  </si>
  <si>
    <t>s13033011</t>
  </si>
  <si>
    <t>Короб пластиковий перфорований e.trunking.perf.stand.80.50, 80х50мм, 2м</t>
  </si>
  <si>
    <t>s13033025</t>
  </si>
  <si>
    <t>Короб пластиковий перфорований e.trunking.perf.stand.80.60, 80х60мм, блакитний 2м</t>
  </si>
  <si>
    <t>s13033016</t>
  </si>
  <si>
    <t>Короб пластиковий перфорований e.trunking.perf.stand.80.80, 80х80мм, 2м</t>
  </si>
  <si>
    <t>s13033012</t>
  </si>
  <si>
    <t>Короб пластиковий перфорований e.trunking.perf.stand.100.50, 100х50мм, 2м</t>
  </si>
  <si>
    <t>s13033026</t>
  </si>
  <si>
    <t>Короб пластиковий перфорований e.trunking.perf.stand.100.60, 100х60мм, блакитний 2м</t>
  </si>
  <si>
    <t>s13033027</t>
  </si>
  <si>
    <t>Короб пластиковий перфорований e.trunking.perf.stand.100.100, 100х100мм, блакитний 2м</t>
  </si>
  <si>
    <t>3.Короб пластиковий з перегородкою CLAPB серії STAND</t>
  </si>
  <si>
    <t>s14033005</t>
  </si>
  <si>
    <t>Перегородка e.trunking.clapb.stand.48.16, 48х16мм, 2м, до коробів 100х50 і 150х50</t>
  </si>
  <si>
    <t>s14033003</t>
  </si>
  <si>
    <t>Короб пластиковий c перегородкою e.trunking.twoclapb.02.stand.100.50, 100х50мм, 2м</t>
  </si>
  <si>
    <t>4.Короб пластиковий (молочно-білий) серії STAND</t>
  </si>
  <si>
    <t>1.Короб пластиковий (молочно-білий)</t>
  </si>
  <si>
    <t>s10033003</t>
  </si>
  <si>
    <t>Короб пластиковий e.trunking.stand.16.16.yw, 16х16мм, 2м (молочно-білий)</t>
  </si>
  <si>
    <t>s10033006</t>
  </si>
  <si>
    <t>Короб пластиковий e.trunking.stand.40.16.yw, 40х16мм, 2м (молочно-білий)</t>
  </si>
  <si>
    <t>2.Аксесуари для коробу (молочно-білого)</t>
  </si>
  <si>
    <t>s11033001</t>
  </si>
  <si>
    <t>Плоский кут  e.trunking.blend.angle.stand.15.10.yw для короба 15х10мм (молочно-білий)</t>
  </si>
  <si>
    <t>s11033003</t>
  </si>
  <si>
    <t>Плоский кут  e.trunking.blend.angle.stand.20.10.yw для короба 20х10мм (молочно-білий)</t>
  </si>
  <si>
    <t>s8033001</t>
  </si>
  <si>
    <t>Внутрішній кут e.trunking.blend.in.stand.15.10.yw для короба 15х10мм (молочно-білий)</t>
  </si>
  <si>
    <t>s8033003</t>
  </si>
  <si>
    <t>Внутрішній кут e.trunking.blend.in.stand.20.10.yw для короба 20х10мм (молочно-білий)</t>
  </si>
  <si>
    <t>s7033001</t>
  </si>
  <si>
    <t>Зовнішній кут  e.trunking.blend.out.stand.15.10.yw для короба 15х10мм (молочно-білий)</t>
  </si>
  <si>
    <t>s7033003</t>
  </si>
  <si>
    <t>Зовнішній кут  e.trunking.blend.out.stand.20.10.yw для короба 20х10мм (молочно-білий)</t>
  </si>
  <si>
    <t>s12033001</t>
  </si>
  <si>
    <t>Т-з'єднувач e.trunking.t.channel.stand.15.10.yw для короба 15х10мм (молочно-білий)</t>
  </si>
  <si>
    <t>s12033003</t>
  </si>
  <si>
    <t>Т-з'єднувач e.trunking.t.channel.stand.20.10.yw для короба 20х10мм (молочно-білий)</t>
  </si>
  <si>
    <t>s9033001</t>
  </si>
  <si>
    <t>Заглушка e.trunking.terminal.stand.15.10.yw для короба 15х10мм (молочно-біла)</t>
  </si>
  <si>
    <t>s9033003</t>
  </si>
  <si>
    <t>Заглушка e.trunking.terminal.stand.20.10.yw для короба 20х10мм (молочно-біла)</t>
  </si>
  <si>
    <t>5.Короб підлоговий ARC серії STAND</t>
  </si>
  <si>
    <t>s1033004</t>
  </si>
  <si>
    <t>Короб пластиковий підлоговий e.trunking.arc.stand.m.60.15, 2м MUTLUSAN</t>
  </si>
  <si>
    <t>s1033005</t>
  </si>
  <si>
    <t>Короб пластиковий підлоговий e.trunking.arc.stand.m.75.18, 2м MUTLUSAN</t>
  </si>
  <si>
    <t>s1033006</t>
  </si>
  <si>
    <t>Короб пластиковий підлоговий e.trunking.arc.stand.m.90.20, 2м MUTLUSAN</t>
  </si>
  <si>
    <t>6.Аксесуари для короба</t>
  </si>
  <si>
    <t>3.Зовнішній кут для коробів OUT серії STAND</t>
  </si>
  <si>
    <t>s2033010</t>
  </si>
  <si>
    <t>Зовнішній кут  e.trunking.blend.out.stand.100.40 для короба 100х40мм</t>
  </si>
  <si>
    <t>s2033011</t>
  </si>
  <si>
    <t>Зовнішній кут  e.trunking.blend.out.stand.100.60 для короба 100х60мм</t>
  </si>
  <si>
    <t>s2033001</t>
  </si>
  <si>
    <t>Зовнішній кут  e.trunking.blend.out.stand.15.10 для короба 15х10мм</t>
  </si>
  <si>
    <t>s2033003</t>
  </si>
  <si>
    <t>Зовнішній кут  e.trunking.blend.out.stand.20.10 для короба 20х10мм</t>
  </si>
  <si>
    <t>s2033012</t>
  </si>
  <si>
    <t>Зовнішній кут  e.trunking.blend.out.stand.24.14 для короба 24х14мм</t>
  </si>
  <si>
    <t>s2033015</t>
  </si>
  <si>
    <t>Зовнішній кут  e.trunking.blend.out.stand.25.25 для короба 25х25мм</t>
  </si>
  <si>
    <t>s2033013</t>
  </si>
  <si>
    <t>Зовнішній кут  e.trunking.blend.out.stand.39.19 для короба 39х19мм</t>
  </si>
  <si>
    <t>s2033005</t>
  </si>
  <si>
    <t>Зовнішній кут  e.trunking.blend.out.stand.40.16 для короба 40х16мм</t>
  </si>
  <si>
    <t>s2033007</t>
  </si>
  <si>
    <t>Зовнішній кут  e.trunking.blend.out.stand.40.40 для короба 40х40мм</t>
  </si>
  <si>
    <t>s2033014</t>
  </si>
  <si>
    <t>Зовнішній кут  e.trunking.blend.out.stand.59.22 для короба 59х22мм</t>
  </si>
  <si>
    <t>s2033008</t>
  </si>
  <si>
    <t>Зовнішній кут  e.trunking.blend.out.stand.60.40 для короба 60х40мм</t>
  </si>
  <si>
    <t>s2033016</t>
  </si>
  <si>
    <t>Зовнішній кут  e.trunking.blend.out.stand.60.60 для короба 60х60мм</t>
  </si>
  <si>
    <t>s2033009</t>
  </si>
  <si>
    <t>Зовшішній кут  e.trunking.blend.out.stand.80.50 для короба 80х50мм</t>
  </si>
  <si>
    <t>4.Внутрішній кут для коробів IN серії STAND</t>
  </si>
  <si>
    <t>s4033010</t>
  </si>
  <si>
    <t>Внутрішній кут e.trunking.blend.in.stand.100.40 для короба 100х40мм</t>
  </si>
  <si>
    <t>s4033011</t>
  </si>
  <si>
    <t>Внутрішній кут e.trunking.blend.in.stand.100.60 для короба 100х60мм</t>
  </si>
  <si>
    <t>s4033001</t>
  </si>
  <si>
    <t>Внутрішній кут e.trunking.blend.in.stand.15.10 для короба 15х10мм</t>
  </si>
  <si>
    <t>s4033003</t>
  </si>
  <si>
    <t>Внутрішній кут e.trunking.blend.in.stand.20.10 для короба 20х10мм</t>
  </si>
  <si>
    <t>s4033012</t>
  </si>
  <si>
    <t>Внутрішній кут e.trunking.blend.in.stand.24.14 для короба 24х14мм</t>
  </si>
  <si>
    <t>s4033015</t>
  </si>
  <si>
    <t>Внутрішній кут e.trunking.blend.in.stand.25.25 для короба 25х25мм</t>
  </si>
  <si>
    <t>s4033013</t>
  </si>
  <si>
    <t>Внутрішній кут e.trunking.blend.in.stand.39.19 для короба 39х19мм</t>
  </si>
  <si>
    <t>s4033005</t>
  </si>
  <si>
    <t>Внутрішній кут e.trunking.blend.in.stand.40.16 для короба 40х16мм</t>
  </si>
  <si>
    <t>s4033006</t>
  </si>
  <si>
    <t>Внутрішній кут e.trunking.blend.in.stand.40.25 для короба 40х25мм</t>
  </si>
  <si>
    <t>s4033007</t>
  </si>
  <si>
    <t>Внутрішній кут e.trunking.blend.in.stand.40.40 для короба 40х40мм</t>
  </si>
  <si>
    <t>s4033014</t>
  </si>
  <si>
    <t>Внутрішній кут e.trunking.blend.in.stand.59.22 для короба 59х22мм</t>
  </si>
  <si>
    <t>s4033008</t>
  </si>
  <si>
    <t>Внутрішній кут e.trunking.blend.in.stand.60.40 для короба 60х40мм</t>
  </si>
  <si>
    <t>s4033016</t>
  </si>
  <si>
    <t>Внутрішній кут e.trunking.blend.in.stand.60.60 для короба 60х60мм</t>
  </si>
  <si>
    <t>s4033009</t>
  </si>
  <si>
    <t>Внутрішній кут e.trunking.blend.in.stand.80.50 для короба 80х50мм</t>
  </si>
  <si>
    <t>5.Плоский кут для коробів ANGLE серії STAND</t>
  </si>
  <si>
    <t>s3033010</t>
  </si>
  <si>
    <t>Плоский кут  e.trunking.blend.angle.stand.100.40 для короба 100х40мм</t>
  </si>
  <si>
    <t>s3033011</t>
  </si>
  <si>
    <t>Плоский кут  e.trunking.blend.angle.stand.100.60 для короба 100х60мм</t>
  </si>
  <si>
    <t>s3033002</t>
  </si>
  <si>
    <t>Плоский кут  e.trunking.blend.angle.stand.16.16 для короба 16х16мм</t>
  </si>
  <si>
    <t>s3033003</t>
  </si>
  <si>
    <t>Плоский кут  e.trunking.blend.angle.stand.20.10 для короба 20х10мм</t>
  </si>
  <si>
    <t>s3033012</t>
  </si>
  <si>
    <t>Плоский кут  e.trunking.blend.angle.stand.24.14 для короба 24х14мм</t>
  </si>
  <si>
    <t>s3033004</t>
  </si>
  <si>
    <t>Плоский кут  e.trunking.blend.angle.stand.25.16 для короба 25х16мм</t>
  </si>
  <si>
    <t>s3033015</t>
  </si>
  <si>
    <t>Плоский кут  e.trunking.blend.angle.stand.25.25 для короба 25х25мм</t>
  </si>
  <si>
    <t>s3033013</t>
  </si>
  <si>
    <t>Плоский кут  e.trunking.blend.angle.stand.39.19 для короба 39х19мм</t>
  </si>
  <si>
    <t>s3033005</t>
  </si>
  <si>
    <t>Плоский кут  e.trunking.blend.angle.stand.40.16 для короба 40х16мм</t>
  </si>
  <si>
    <t>s3033007</t>
  </si>
  <si>
    <t>Плоский кут  e.trunking.blend.angle.stand.40.40 для короба 40х40мм</t>
  </si>
  <si>
    <t>s3033014</t>
  </si>
  <si>
    <t>Плоский кут  e.trunking.blend.angle.stand.59.22 для короба 59х22мм</t>
  </si>
  <si>
    <t>s3033008</t>
  </si>
  <si>
    <t>Плоский кут  e.trunking.blend.angle.stand.60.40 для короба 60х40мм</t>
  </si>
  <si>
    <t>s3033016</t>
  </si>
  <si>
    <t>Плоский кут  e.trunking.blend.angle.stand.60.60 для короба 60х60мм</t>
  </si>
  <si>
    <t>s3033009</t>
  </si>
  <si>
    <t>Плоский кут  e.trunking.blend.angle.stand.80.50 для короба 80х50мм</t>
  </si>
  <si>
    <t>6.Т-з'єднувач для коробів T серії STAND</t>
  </si>
  <si>
    <t>s5033010</t>
  </si>
  <si>
    <t>Т-з'єднувач e.trunking.t.channel.stand.100.40 для короба 100х40мм</t>
  </si>
  <si>
    <t>s5033011</t>
  </si>
  <si>
    <t>Т-з'єднувач e.trunking.t.channel.stand.100.60 для короба 100х60мм</t>
  </si>
  <si>
    <t>s5033001</t>
  </si>
  <si>
    <t>Т-з'єднувач e.trunking.t.channel.stand.15.10 для короба 15х10мм</t>
  </si>
  <si>
    <t>s5033002</t>
  </si>
  <si>
    <t>Т-з'єднувач e.trunking.t.channel.stand.16.16 для короба 16х16мм</t>
  </si>
  <si>
    <t>s5033003</t>
  </si>
  <si>
    <t>Т-з'єднувач e.trunking.t.channel.stand.20.10 для короба 20х10мм</t>
  </si>
  <si>
    <t>s5033012</t>
  </si>
  <si>
    <t>Т-з'єднувач e.trunking.t.channel.stand.24.14 для короба 24х14мм</t>
  </si>
  <si>
    <t>s5033004</t>
  </si>
  <si>
    <t>Т-з'єднувач e.trunking.t.channel.stand.25.16 для короба 25х16мм</t>
  </si>
  <si>
    <t>s5033015</t>
  </si>
  <si>
    <t>Т-з'єднувач e.trunking.t.channel.stand.25.25 для короба 25х25мм</t>
  </si>
  <si>
    <t>s5033013</t>
  </si>
  <si>
    <t>Т-з'єднувач e.trunking.t.channel.stand.39.19 для короба 39х19мм</t>
  </si>
  <si>
    <t>s5033005</t>
  </si>
  <si>
    <t>Т-з'єднувач e.trunking.t.channel.stand.40.16 для короба 40х16мм</t>
  </si>
  <si>
    <t>s5033006</t>
  </si>
  <si>
    <t>Т-з'єднувач e.trunking.t.channel.stand.40.25 для короба 40х25мм</t>
  </si>
  <si>
    <t>s5033007</t>
  </si>
  <si>
    <t>Т-з'єднувач e.trunking.t.channel.stand.40.40 для короба 40х40мм</t>
  </si>
  <si>
    <t>s5033014</t>
  </si>
  <si>
    <t>Т-з'єднувач e.trunking.t.channel.stand.59.22 для короба 59х22мм</t>
  </si>
  <si>
    <t>s5033008</t>
  </si>
  <si>
    <t>Т-з'єднувач e.trunking.t.channel.stand.60.40 для короба 60х40мм</t>
  </si>
  <si>
    <t>s5033009</t>
  </si>
  <si>
    <t>Т-з'єднувач e.trunking.t.channel.stand.80.50 для короба 80х50мм</t>
  </si>
  <si>
    <t>7.Заглушки для коробів TERMINAL серії STAND</t>
  </si>
  <si>
    <t>s6033010</t>
  </si>
  <si>
    <t>Заглушка e.trunking.terminal.stand.100.40 для короба 100х40мм</t>
  </si>
  <si>
    <t>s6033011</t>
  </si>
  <si>
    <t>Заглушка e.trunking.terminal.stand.100.60 для короба 100х60мм</t>
  </si>
  <si>
    <t>s6033001</t>
  </si>
  <si>
    <t>Заглушка e.trunking.terminal.stand.15.10 для короба 15х10мм</t>
  </si>
  <si>
    <t>s6033003</t>
  </si>
  <si>
    <t>Заглушка e.trunking.terminal.stand.20.10 для короба 20х10мм</t>
  </si>
  <si>
    <t>s6033012</t>
  </si>
  <si>
    <t>Заглушка e.trunking.terminal.stand.24.14 для короба 24х14мм</t>
  </si>
  <si>
    <t>s6033004</t>
  </si>
  <si>
    <t>Заглушка e.trunking.terminal.stand.25.16 для короба 25х16мм</t>
  </si>
  <si>
    <t>s6033015</t>
  </si>
  <si>
    <t>Заглушка e.trunking.terminal.stand.25.25 для короба 25х25мм</t>
  </si>
  <si>
    <t>s6033013</t>
  </si>
  <si>
    <t>Заглушка e.trunking.terminal.stand.39.19 для короба 39х19мм</t>
  </si>
  <si>
    <t>s6033005</t>
  </si>
  <si>
    <t>Заглушка e.trunking.terminal.stand.40.16 для короба 40х16мм</t>
  </si>
  <si>
    <t>s6033006</t>
  </si>
  <si>
    <t>Заглушка e.trunking.terminal.stand.40.25 для короба 40х25мм</t>
  </si>
  <si>
    <t>s6033007</t>
  </si>
  <si>
    <t>Заглушка e.trunking.terminal.stand.40.40 для короба 40х40мм</t>
  </si>
  <si>
    <t>s6033014</t>
  </si>
  <si>
    <t>Заглушка e.trunking.terminal.stand.59.22 для короба 59х22мм</t>
  </si>
  <si>
    <t>s6033008</t>
  </si>
  <si>
    <t>Заглушка e.trunking.terminal.stand.60.40 для короба 60х40мм</t>
  </si>
  <si>
    <t>s6033009</t>
  </si>
  <si>
    <t>Заглушка e.trunking.terminal.stand.80.50 для короба 80х50мм</t>
  </si>
  <si>
    <t>8.З'єднувач для коробів big-to-small BTS серії STAND</t>
  </si>
  <si>
    <t>s16033001</t>
  </si>
  <si>
    <t>З'єднувач  "big-to-small" e.trunking.bts.channel.stand.39.24 для коробів 39.19/24.14</t>
  </si>
  <si>
    <t>s16033002</t>
  </si>
  <si>
    <t>З'єднувач  "big-to-small" e.trunking.bts.channel.stand.59.24 для коробів 59.22/24.14</t>
  </si>
  <si>
    <t>s16033003</t>
  </si>
  <si>
    <t>З'єднувач  "big-to-small" e.trunking.bts.channel.stand.59.39 для коробів 59.22/39.19</t>
  </si>
  <si>
    <t>9.З'єднувач для коробів CHANNEL серії E.STAND</t>
  </si>
  <si>
    <t>s15033001</t>
  </si>
  <si>
    <t>З'єднувач e.trunking.channel.stand.15.10 для короба 15х10мм</t>
  </si>
  <si>
    <t>s15033002</t>
  </si>
  <si>
    <t>З'єднувач e.trunking.channel.stand.16.16 для короба 16х16мм</t>
  </si>
  <si>
    <t>s15033003</t>
  </si>
  <si>
    <t>З'єднувач e.trunking.channel.stand.20.10 для короба 20х10мм</t>
  </si>
  <si>
    <t>s15033007</t>
  </si>
  <si>
    <t>З'єднувач e.trunking.channel.stand.24.14 для короба 24х14мм</t>
  </si>
  <si>
    <t>s15033004</t>
  </si>
  <si>
    <t>З'єднувач e.trunking.channel.stand.25.16 для короба 25х16мм</t>
  </si>
  <si>
    <t>s15033010</t>
  </si>
  <si>
    <t>З'єднувач e.trunking.channel.stand.25.25 для короба 25х25мм</t>
  </si>
  <si>
    <t>s15033008</t>
  </si>
  <si>
    <t>З'єднувач e.trunking.channel.stand.39.19 для короба 39х19мм</t>
  </si>
  <si>
    <t>s15033009</t>
  </si>
  <si>
    <t>З'єднувач e.trunking.channel.stand.59.22 для короба 59х22мм</t>
  </si>
  <si>
    <t>3.Труби пластикові</t>
  </si>
  <si>
    <t>1.Труби пластикові гофровані G.TUBE</t>
  </si>
  <si>
    <t>1.Труба гофрована українського виробництва ULTRA серії STAND (легка)</t>
  </si>
  <si>
    <t>s035108</t>
  </si>
  <si>
    <t>Труба гофрована ПВХ с протяжкой e.g.tube.ultra.11.16.p 11/16 (100м)</t>
  </si>
  <si>
    <t>s035109</t>
  </si>
  <si>
    <t>Труба гофрована ПВХ с протяжкой e.g.tube.ultra.14.20.p 14/20 (100м)</t>
  </si>
  <si>
    <t>s035110</t>
  </si>
  <si>
    <t>Труба гофрована ПВХ с протяжкой e.g.tube.ultra.19.25.p 19/25 (50м)</t>
  </si>
  <si>
    <t>s035111</t>
  </si>
  <si>
    <t>Труба гофрована ПВХ с протяжкой e.g.tube.ultra.25.32.p 25/32 (25м)</t>
  </si>
  <si>
    <t>2.Труба гофрована українського виробництва G.TUBE серії STAND</t>
  </si>
  <si>
    <t>s028001</t>
  </si>
  <si>
    <t>Труба гофрована ПВХ з протяжкою e.g.tube.stand.11.16.p 11/16 (100м)</t>
  </si>
  <si>
    <t>s028002</t>
  </si>
  <si>
    <t>Труба гофрована ПВХ з протяжкою e.g.tube.stand.14.20.p 14/20 (100м)</t>
  </si>
  <si>
    <t>s028033</t>
  </si>
  <si>
    <t>Труба гофрована ПВХ з протяжкою e.g.tube.stand.19.25.p 19/25 (25м)</t>
  </si>
  <si>
    <t>s028014</t>
  </si>
  <si>
    <t>Труба гофрована ПВХ з протяжкою e.g.tube.stand.19.25.p 19/25 (50м)</t>
  </si>
  <si>
    <t>s028003</t>
  </si>
  <si>
    <t>Труба гофрована ПВХ з протяжкою e.g.tube.stand.19.25.p 19/25 (100м)</t>
  </si>
  <si>
    <t>s028031</t>
  </si>
  <si>
    <t>Труба гофрована ПВХ з протяжкою e.g.tube.stand.25.32.p 25/32 (25м)</t>
  </si>
  <si>
    <t>s028004</t>
  </si>
  <si>
    <t>Труба гофрована ПВХ з протяжкою e.g.tube.stand.25.32.p 25/32 (50м)</t>
  </si>
  <si>
    <t>s028015</t>
  </si>
  <si>
    <t>Труба гофрована ПВХ з протяжкою e.g.tube.stand.33.40.p 33/40 (25м)</t>
  </si>
  <si>
    <t>s028005</t>
  </si>
  <si>
    <t>Труба гофрована ПВХ з протяжкою e.g.tube.stand.33.40.p 33/40 (50м)</t>
  </si>
  <si>
    <t>s028012</t>
  </si>
  <si>
    <t>Труба гофрована ПВХ з протяжкою e.g.tube.stand.40.50.p 40/50 (25м)</t>
  </si>
  <si>
    <t>s0280016</t>
  </si>
  <si>
    <t>Труба гофрована ПВХ з протяжкою e.g.tube.stand.11.16.p 11/16 (50м) ДИСКОНТ</t>
  </si>
  <si>
    <t>3.Труба гофрована українського виробництва G.TUBE серії PRO (важка)</t>
  </si>
  <si>
    <t>s028044b</t>
  </si>
  <si>
    <t>Труба гофрована важка (750Н) e.g.tube.pro.11.16 (25м).black,чорна</t>
  </si>
  <si>
    <t>бухт</t>
  </si>
  <si>
    <t>s028036b</t>
  </si>
  <si>
    <t>Труба гофрована важка (750Н) e.g.tube.pro.11.16 (50м).black,чорна</t>
  </si>
  <si>
    <t>s028045b</t>
  </si>
  <si>
    <t>Труба гофрована важка (750Н) e.g.tube.pro.14.20 (25м).black,чорна</t>
  </si>
  <si>
    <t>s028037b</t>
  </si>
  <si>
    <t>Труба гофрована важка (750Н) e.g.tube.pro.14.20 (50м).black,чорна</t>
  </si>
  <si>
    <t>s028046b</t>
  </si>
  <si>
    <t>Труба гофрована важка (750Н) e.g.tube.pro.19.25 (25м).black,чорна</t>
  </si>
  <si>
    <t>s028038b</t>
  </si>
  <si>
    <t>Труба гофрована важка (750Н) e.g.tube.pro.19.25 (50м).black,чорна</t>
  </si>
  <si>
    <t>s028047b</t>
  </si>
  <si>
    <t>Труба гофрована важка (750Н) e.g.tube.pro.25.32 (15м).black,чорна</t>
  </si>
  <si>
    <t>s028039b</t>
  </si>
  <si>
    <t>Труба гофрована важка (750Н) e.g.tube.pro.25.32 (25м).black,чорна</t>
  </si>
  <si>
    <t>2.Труби пластикові гладкі PIPE</t>
  </si>
  <si>
    <t>1.Труба пластикова PIPE серії STAND</t>
  </si>
  <si>
    <t>s1035002</t>
  </si>
  <si>
    <t>Труба ПВХ e.pipe.stand.20.14 d20х1,4х2900мм</t>
  </si>
  <si>
    <t>s1035004</t>
  </si>
  <si>
    <t>Труба ПВХ e.pipe.stand.32.16 d32х1,6х2900мм</t>
  </si>
  <si>
    <t>s1035007</t>
  </si>
  <si>
    <t>Труба ПВХ e.pipe.stand.63.23 d63х2,3х2900мм</t>
  </si>
  <si>
    <t>2.Труба пластикова з розтрубом BELL серії STAND</t>
  </si>
  <si>
    <t>s14035352</t>
  </si>
  <si>
    <t>Труба ПВХ c розтрубом e.pipe.bell.stand.20 d20х3000мм</t>
  </si>
  <si>
    <t>s14035004</t>
  </si>
  <si>
    <t>Труба ПВХ c розтрубом e.pipe.bell.stand.32.16 d32х1,6х2900мм</t>
  </si>
  <si>
    <t>3.Труба пластикова тонкостінна THIN серії STAND</t>
  </si>
  <si>
    <t>s1035102</t>
  </si>
  <si>
    <t>Труба ПВХ тонкостінна e.pipe.stand.thin.20.11 d20х1,1х2900мм</t>
  </si>
  <si>
    <t>s1035104</t>
  </si>
  <si>
    <t>Труба ПВХ тонкостінна e.pipe.stand.thin.32.13 d32х1,3х2900мм</t>
  </si>
  <si>
    <t>4.Труба пластикова Mutlusan</t>
  </si>
  <si>
    <t>s1035203</t>
  </si>
  <si>
    <t>Труба ПВХ з розтрубом e.pipe.bell.stand.m.16.15 d15.9х1,5х3000мм MUTLUSAN</t>
  </si>
  <si>
    <t>s1035204</t>
  </si>
  <si>
    <t>Труба ПВХ з розтрубом e.pipe.bell.stand.m.25.15 d24.9х1,5х3000мм MUTLUSAN</t>
  </si>
  <si>
    <t>s1035205</t>
  </si>
  <si>
    <t>Труба ПВХ e.pipe.stand.m.20.16 d19.9х1,6х3000мм MUTLUSAN (3м)</t>
  </si>
  <si>
    <t>s1035201</t>
  </si>
  <si>
    <t>Труба ПВХ e.pipe.stand.m.25.15 d24.9х1,5х3000мм MUTLUSAN (3м)</t>
  </si>
  <si>
    <t>s1035206</t>
  </si>
  <si>
    <t>З'єднувач e.pipe.connect.stand.m.16 для труб d16мм MUTLUSAN</t>
  </si>
  <si>
    <t>s1035207</t>
  </si>
  <si>
    <t>З'єднувач e.pipe.connect.stand.m.20 для труб d20мм MUTLUSAN</t>
  </si>
  <si>
    <t>s1035202</t>
  </si>
  <si>
    <t>З'єднувач e.pipe.connect.stand.m.25 для труб d25мм MUTLUSAN</t>
  </si>
  <si>
    <t>s1035208</t>
  </si>
  <si>
    <t>З'єднувач плавний кутовий e.pipe.angle.large.stand.m.16 для труб d16мм MUTLUSAN</t>
  </si>
  <si>
    <t>s1035209</t>
  </si>
  <si>
    <t>З'єднувач плавний кутовий e.pipe.angle.large.stand.m.20 для труб d20мм MUTLUSAN</t>
  </si>
  <si>
    <t>s1035210</t>
  </si>
  <si>
    <t>З'єднувач плавний кутовий e.pipe.angle.large.stand.m.25 для труб d25мм MUTLUSAN</t>
  </si>
  <si>
    <t>s1035213</t>
  </si>
  <si>
    <t>S-образна кліпса e.pipe.s.clip.stand.m.16 для труб d16мм MUTLUSAN</t>
  </si>
  <si>
    <t>s1035214</t>
  </si>
  <si>
    <t>S-образна кліпса e.pipe.s.clip.stand.m.20 для труб d20мм MUTLUSAN</t>
  </si>
  <si>
    <t>s1035215</t>
  </si>
  <si>
    <t>S-образна кліпса e.pipe.s.clip.stand.m.25 для труб d25мм MUTLUSAN</t>
  </si>
  <si>
    <t>s1035211</t>
  </si>
  <si>
    <t>Т-з'єднувач розбірний e.pipe.t.connect.stand.m.16 для труб d16мм MUTLUSAN</t>
  </si>
  <si>
    <t>s1035219</t>
  </si>
  <si>
    <t>Т-з'єднувач розбірний e.pipe.t.connect.stand.m.20 для труб d20мм MUTLUSAN</t>
  </si>
  <si>
    <t>s1035212</t>
  </si>
  <si>
    <t>Т-з'єднувач розбірний e.pipe.t.connect.stand.m.25 для труб d25мм MUTLUSAN</t>
  </si>
  <si>
    <t>s1035217</t>
  </si>
  <si>
    <t>Ввід e.pipe.tangency.stand.m.16 для труб d16мм MUTLUSAN</t>
  </si>
  <si>
    <t>s1035218</t>
  </si>
  <si>
    <t>Ввід e.pipe.tangency.stand.m.20 для труб d20мм MUTLUSAN</t>
  </si>
  <si>
    <t>s1035216</t>
  </si>
  <si>
    <t>Ввід e.pipe.tangency.stand.m.25 для труб d25мм MUTLUSAN</t>
  </si>
  <si>
    <t>3.Труби пластикові гнучкі армовані серії PRO</t>
  </si>
  <si>
    <t>CS30010</t>
  </si>
  <si>
    <t>Труба гнучка армована e.g.tube.pro.10 (30м)</t>
  </si>
  <si>
    <t>CS30012</t>
  </si>
  <si>
    <t>Труба гнучка армована e.g.tube.pro.12 (30м)</t>
  </si>
  <si>
    <t>CS30014</t>
  </si>
  <si>
    <t>Труба гнучка армована e.g.tube.pro.14 (30м)</t>
  </si>
  <si>
    <t>CS30016</t>
  </si>
  <si>
    <t>Труба гнучка армована e.g.tube.pro.16 (30м)</t>
  </si>
  <si>
    <t>CS30020</t>
  </si>
  <si>
    <t>Труба гнучка армована e.g.tube.pro.20 (30м)</t>
  </si>
  <si>
    <t>CS30022</t>
  </si>
  <si>
    <t>Труба гнучка армована e.g.tube.pro.22 (30м)</t>
  </si>
  <si>
    <t>CS30025</t>
  </si>
  <si>
    <t>Труба гнучка армована e.g.tube.pro.25 (30м)</t>
  </si>
  <si>
    <t>CS30030</t>
  </si>
  <si>
    <t>Труба гнучка армована e.g.tube.pro.30 (30м)</t>
  </si>
  <si>
    <t>CS30032</t>
  </si>
  <si>
    <t>Труба гнучка армована e.g.tube.pro.32 (30м)</t>
  </si>
  <si>
    <t>CS30038</t>
  </si>
  <si>
    <t>Труба гнучка армована e.g.tube.pro.38 (30м)</t>
  </si>
  <si>
    <t>4.Аксесуари для труб пластикових</t>
  </si>
  <si>
    <t>1.U-кліпса набірна українського виробництва G.TUBE серії STAND</t>
  </si>
  <si>
    <t>s028054</t>
  </si>
  <si>
    <t>Хомут-кліпса e.g.tube.clip.stand.16 для гофротруби д.16  (упаковка 100 шт)</t>
  </si>
  <si>
    <t>s028155</t>
  </si>
  <si>
    <t>Хомут-кліпса e.g.tube.clip.stand.20 для гофротруби д.20  (упаковка 50 шт)</t>
  </si>
  <si>
    <t>s028055</t>
  </si>
  <si>
    <t>Хомут-кліпса e.g.tube.clip.stand.20 для гофротруби д.20  (упаковка 100 шт)</t>
  </si>
  <si>
    <t>s028156</t>
  </si>
  <si>
    <t>Хомут-кліпса e.g.tube.clip.stand.25 для гофротруби д.25  (упаковка 50 шт)</t>
  </si>
  <si>
    <t>s028034</t>
  </si>
  <si>
    <t>Хомут-кліпса e.g.tube.clip.stand.25 для гофротруби д.25  (упаковка 100 шт)</t>
  </si>
  <si>
    <t>s028056</t>
  </si>
  <si>
    <t>Хомут-кліпса e.g.tube.clip.stand.32 для гофротруби д.32 (упаковка 25 шт)</t>
  </si>
  <si>
    <t>s028035</t>
  </si>
  <si>
    <t>Хомут-кліпса e.g.tube.clip.stand.32 для гофротруби д.32  (упаковка 100 шт)</t>
  </si>
  <si>
    <t>s028057</t>
  </si>
  <si>
    <t>Хомут-кліпса e.g.tube.clip.stand.40 для гофротруби д.40  (упаковка 25 шт)</t>
  </si>
  <si>
    <t>s028058</t>
  </si>
  <si>
    <t>Хомут-кліпса e.g.tube.clip.stand.50 для гофротруби д.50  (упаковка 25 шт)</t>
  </si>
  <si>
    <t>2.U-кліпса для труб U серії STAND</t>
  </si>
  <si>
    <t>s9035004</t>
  </si>
  <si>
    <t>U-образна кліпса e.pipe.u.clip.stand.32 для труб d32мм</t>
  </si>
  <si>
    <t>3.N-клиіпса для труб N серії STAND</t>
  </si>
  <si>
    <t>s10035001</t>
  </si>
  <si>
    <t>N-образна кліпса e.pipe.n.clip.stand.20 для труб d20мм</t>
  </si>
  <si>
    <t>4.Uni-клиіпса для труб UNI серії STAND</t>
  </si>
  <si>
    <t>s13035005</t>
  </si>
  <si>
    <t>Хомут-кліпса e.pipe.uni.clip.stand.14 для труби д.14 універсальна з дюбелем</t>
  </si>
  <si>
    <t>s13035006</t>
  </si>
  <si>
    <t>Хомут-кліпса e.pipe.uni.clip.stand.18 для труби д.18 універсальна з дюбелем</t>
  </si>
  <si>
    <t>s13035007</t>
  </si>
  <si>
    <t>Хомут-кліпса e.pipe.uni.clip.stand.22 для труби д.22 універсальна з дюбелем</t>
  </si>
  <si>
    <t>5.З'єднувач для труб CONNECT серії STAND</t>
  </si>
  <si>
    <t>s2035007</t>
  </si>
  <si>
    <t>З'єднувач e.pipe.connect.stand.63 для труб d63мм</t>
  </si>
  <si>
    <t>6.Кутовий з'єднувач для труб ANGLE серії STAND</t>
  </si>
  <si>
    <t>s3035006</t>
  </si>
  <si>
    <t>Кутовий з'єднувач e.pipe.angle.stand.50 для труб d50мм</t>
  </si>
  <si>
    <t>7.Плавний кутовий з'єднувач для труб LARGE.ANGLE серії STAND</t>
  </si>
  <si>
    <t>8.Т-з'єднувач для труб T серії E.STAND</t>
  </si>
  <si>
    <t>s4035002</t>
  </si>
  <si>
    <t>Т-з'єднувач e.pipe.t.connect.stand.20 для труб d20мм</t>
  </si>
  <si>
    <t>s4035003</t>
  </si>
  <si>
    <t>Т-з'єднувач e.pipe.t.connect.stand.25 для труб d25мм</t>
  </si>
  <si>
    <t>s4035004</t>
  </si>
  <si>
    <t>Т-з'єднувач e.pipe.t.connect.stand.32 для труб d32мм</t>
  </si>
  <si>
    <t>9.Трубний ввід TANGENCY серії STAND</t>
  </si>
  <si>
    <t>s6035002</t>
  </si>
  <si>
    <t>Ввід e.pipe.tangency.stand.20 для труб d20мм</t>
  </si>
  <si>
    <t>s6035004</t>
  </si>
  <si>
    <t>Ввід e.pipe.tangency.stand.32 для труб d32мм</t>
  </si>
  <si>
    <t>10.Перехідник для труб BTS серії STAND</t>
  </si>
  <si>
    <t>s5035001</t>
  </si>
  <si>
    <t>Перехідник e.pipe.bts.connect.stand.16.20 для труб d16-20мм</t>
  </si>
  <si>
    <t>s5035003</t>
  </si>
  <si>
    <t>Перехідник e.pipe.bts.connect.stand.25.32 для труб d25-32мм</t>
  </si>
  <si>
    <t>11.Коробка монтажна для труб DB серії STAND</t>
  </si>
  <si>
    <t>s8035001</t>
  </si>
  <si>
    <t>Коробка монтажна e.pipe.db.stand.88.88.32 для труб, 88х88х32мм</t>
  </si>
  <si>
    <t>12.Коробка з'єднувальна для труб DB серії STAND</t>
  </si>
  <si>
    <t>s7035001</t>
  </si>
  <si>
    <t>Коробка e.pipe.3.db.stand.16 з'єднувальна трубна, 3 вводи, d16мм</t>
  </si>
  <si>
    <t>s7035002</t>
  </si>
  <si>
    <t>Коробка e.pipe.3.db.stand.20 з'єднувальна трубна, 3 вводи, d20мм</t>
  </si>
  <si>
    <t>s7035003</t>
  </si>
  <si>
    <t>Коробка e.pipe.3.db.stand.25 з'єднувальна трубна, 3 вводи, d25мм</t>
  </si>
  <si>
    <t>s7035004</t>
  </si>
  <si>
    <t>Коробка e.pipe.4.db.stand.16 з'єднувальна трубна, 4 вводи, d16мм</t>
  </si>
  <si>
    <t>s7035005</t>
  </si>
  <si>
    <t>Коробка e.pipe.4.db.stand.20 з'єднувальна трубна, 4 вводи, d20мм</t>
  </si>
  <si>
    <t>s7035006</t>
  </si>
  <si>
    <t>Коробка e.pipe.4.db.stand.25 з'єднувальна трубна, 4 вводи, d25мм</t>
  </si>
  <si>
    <t>s7035007</t>
  </si>
  <si>
    <t>Кришка коробки з'єднувальної e.pipe.db.cover.stand</t>
  </si>
  <si>
    <t>13.Пружини для гнуття труб SPRING серії STAND</t>
  </si>
  <si>
    <t>s11035001</t>
  </si>
  <si>
    <t>Пружина e.pipe.spring.stand.16 для гнуття труб d16мм</t>
  </si>
  <si>
    <t>s11035003</t>
  </si>
  <si>
    <t>Пружина e.pipe.spring.stand.25 для гнуття труб d25мм</t>
  </si>
  <si>
    <t>5.Система прокладки кабелю в ґрунті</t>
  </si>
  <si>
    <t>1.Труба гофрована двостінна чорна KOR</t>
  </si>
  <si>
    <t>s028103b</t>
  </si>
  <si>
    <t>Труба гофрована двостінна чорна e.kor.tube.black.63.52, 63/52мм (100м)</t>
  </si>
  <si>
    <t>s028101</t>
  </si>
  <si>
    <t>Труба гофрована двостінна чорна e.kor.tube.black.40.32, 40/32мм (50м)</t>
  </si>
  <si>
    <t>s028102</t>
  </si>
  <si>
    <t>Труба гофрована двостінна чорна e.kor.tube.black.50.41, 50/41мм (50м)</t>
  </si>
  <si>
    <t>s028103</t>
  </si>
  <si>
    <t>Труба гофрована двостінна чорна e.kor.tube.black.63.52, 63/52мм (50м)</t>
  </si>
  <si>
    <t>s028104</t>
  </si>
  <si>
    <t>Труба гофрована двостінна чорна e.kor.tube.black.75.61, 75/61мм (50м)</t>
  </si>
  <si>
    <t>s028105</t>
  </si>
  <si>
    <t>Труба гофрована двостінна чорна e.kor.tube.black.90.75, 90/75мм (50м)</t>
  </si>
  <si>
    <t>s028106</t>
  </si>
  <si>
    <t>Труба гофрована двостінна чорна e.kor.tube.black.110.95, 110/95мм (50м)</t>
  </si>
  <si>
    <t>s028107</t>
  </si>
  <si>
    <t>Труба гофрована двостінна чорна e.kor.tube.black.160.136, 160/136мм (50м)</t>
  </si>
  <si>
    <t>2.Труба гофрована двостінна Копофлекс</t>
  </si>
  <si>
    <t>KF09040</t>
  </si>
  <si>
    <t>Труба гофрована двостінна Копофлекс красная  40(50м)</t>
  </si>
  <si>
    <t>KF09050</t>
  </si>
  <si>
    <t>Труба гофрована двостінна Копофлекс красная 50(50м)</t>
  </si>
  <si>
    <t>KF09063</t>
  </si>
  <si>
    <t>Труба гофрована двостінна Копофлекс красная 63(50м)</t>
  </si>
  <si>
    <t>KF09075</t>
  </si>
  <si>
    <t>Труба гофрована двостінна Копофлекс красная 75(50м)</t>
  </si>
  <si>
    <t>KF09090</t>
  </si>
  <si>
    <t>Труба гофрована двостінна Копофлекс красная 90(50м)</t>
  </si>
  <si>
    <t>KF09110</t>
  </si>
  <si>
    <t>Труба гофрована двостінна Копофлекс  красная 110(50м)</t>
  </si>
  <si>
    <t>KF09160</t>
  </si>
  <si>
    <t>Труба гофрована двостінна Копофлекс красная 160(50м)</t>
  </si>
  <si>
    <t>3. Муфти з'єднувальні CONNECTOR</t>
  </si>
  <si>
    <t>001132р</t>
  </si>
  <si>
    <t>Муфта з'єднувальна e.pipe.connector.75 для труб d75мм</t>
  </si>
  <si>
    <t>001142р</t>
  </si>
  <si>
    <t>Муфта з'єднувальна e.pipe.connector.90 для труб d90мм</t>
  </si>
  <si>
    <t>001152р</t>
  </si>
  <si>
    <t>Муфта з'єднувальна e.pipe.connector.110 для труб d110мм</t>
  </si>
  <si>
    <t>001192р</t>
  </si>
  <si>
    <t>Муфта з'єднувальна e.pipe.connector.160 для труб d160мм</t>
  </si>
  <si>
    <t>4.Колодязі кабельні пластикові</t>
  </si>
  <si>
    <t>CP202020</t>
  </si>
  <si>
    <t>Колодязь кабельний пластиковий e.manhole.200.200.200.cover, 200х200х200мм з кришкою</t>
  </si>
  <si>
    <t>CP303032</t>
  </si>
  <si>
    <t>Колодязь кабельний пластиковий e.manhole.300.300.300.6.cover, 300х300х300мм, 6 виходів під трубу, з кришкою</t>
  </si>
  <si>
    <t>CP303030</t>
  </si>
  <si>
    <t>Колодязь кабельний пластиковий e.manhole.300.300.300.cover, 300х300х300мм, з кришкою</t>
  </si>
  <si>
    <t>CP404040</t>
  </si>
  <si>
    <t>Колодязь кабельний пластиковий e.manhole.400.400.400.cover, 400х400х400мм з кришкою</t>
  </si>
  <si>
    <t>CP555550</t>
  </si>
  <si>
    <t>Колодязь кабельний пластиковий e.manhole.550.550.500.cover, 550х550х500мм з кришкою</t>
  </si>
  <si>
    <t>5.Кабельна кришка Dekab</t>
  </si>
  <si>
    <t>60900014</t>
  </si>
  <si>
    <t>Кабельна кришка Dekab 250/4, 250/4мм (25м)</t>
  </si>
  <si>
    <t>6.Короба для підземної прокладки кабелю ZEKAN</t>
  </si>
  <si>
    <t>cws001003</t>
  </si>
  <si>
    <t>Муфта для ZEKAN 1</t>
  </si>
  <si>
    <t>cws001004</t>
  </si>
  <si>
    <t>Муфта для ZEKAN 4</t>
  </si>
  <si>
    <t>6.Металорукав</t>
  </si>
  <si>
    <t>1.Металорукав сухий, оцинкований SLDX серії STAND</t>
  </si>
  <si>
    <t>s032048</t>
  </si>
  <si>
    <t>Металорукав e.met.sleeve.stand.sldx.038 оцинкований, сухий (100м)</t>
  </si>
  <si>
    <t>s032017</t>
  </si>
  <si>
    <t>Металорукав e.met.sleeve.stand.sldx.08 оцинкований, сухий (100м)</t>
  </si>
  <si>
    <t>s032019</t>
  </si>
  <si>
    <t>Металорукав e.met.sleeve.stand.sldx.10 оцинкований, сухий (100м)</t>
  </si>
  <si>
    <t>s032020</t>
  </si>
  <si>
    <t>Металорукав e.met.sleeve.stand.sldx.12 оцинкований, сухий (100м)</t>
  </si>
  <si>
    <t>s032021</t>
  </si>
  <si>
    <t>Металорукав e.met.sleeve.stand.sldx.15 оцинкований, сухий (100м)</t>
  </si>
  <si>
    <t>s032022</t>
  </si>
  <si>
    <t>Металорукав e.met.sleeve.stand.sldx.18 оцинкований, сухий (50м)</t>
  </si>
  <si>
    <t>s032023</t>
  </si>
  <si>
    <t>Металорукав e.met.sleeve.stand.sldx.25 оцинкований, сухий (50м)</t>
  </si>
  <si>
    <t>s032024</t>
  </si>
  <si>
    <t>Металорукав e.met.sleeve.stand.sldx.32 оцинкований, сухий (25м)</t>
  </si>
  <si>
    <t>s032025</t>
  </si>
  <si>
    <t>Металорукав e.met.sleeve.stand.sldx.38 оцинкований, сухий (25м)</t>
  </si>
  <si>
    <t>s032026</t>
  </si>
  <si>
    <t>Металорукав e.met.sleeve.stand.sldx.50 оцинкований, сухий (20м)</t>
  </si>
  <si>
    <t>s032044</t>
  </si>
  <si>
    <t>Металорукав e.met.sleeve.stand.sldx.63 оцинкований, сухий (20м)</t>
  </si>
  <si>
    <t>s032045</t>
  </si>
  <si>
    <t>Металорукав e.met.sleeve.stand.sldx.80 оцинкований, сухий (10м)</t>
  </si>
  <si>
    <t>1a.Металорукав холодної оцинковки з протяжкою</t>
  </si>
  <si>
    <t>РЗ-Ц11/50</t>
  </si>
  <si>
    <t>Металорукав холодної оцинковки 11мм/50м, з протяжкою</t>
  </si>
  <si>
    <t>РЗ-Ц11/25</t>
  </si>
  <si>
    <t>Металорукав холодної оцинковки 11мм/25м, з протяжкою</t>
  </si>
  <si>
    <t>РЗ-Ц14/50</t>
  </si>
  <si>
    <t>Металорукав холодної оцинковки 14мм/50м, з протяжкою</t>
  </si>
  <si>
    <t>РЗ-Ц14/25</t>
  </si>
  <si>
    <t>Металорукав холодної оцинковки 14мм/25м, з протяжкою</t>
  </si>
  <si>
    <t>РЗ-Ц18/50</t>
  </si>
  <si>
    <t>Металорукав холодної оцинковки 18мм/50м, з протяжкою</t>
  </si>
  <si>
    <t>РЗ-Ц18/25</t>
  </si>
  <si>
    <t>Металорукав холодної оцинковки 18мм/25м, з протяжкою</t>
  </si>
  <si>
    <t>РЗ-Ц20/50</t>
  </si>
  <si>
    <t>Металорукав холодної оцинковки 20мм/50м, з протяжкою</t>
  </si>
  <si>
    <t>РЗ-Ц20/25</t>
  </si>
  <si>
    <t>Металорукав холодної оцинковки 20мм/25м, з протяжкою</t>
  </si>
  <si>
    <t>РЗ-Ц22/50</t>
  </si>
  <si>
    <t>Металорукав холодної оцинковки 22мм/50м, з протяжкою</t>
  </si>
  <si>
    <t>РЗ-Ц22/25</t>
  </si>
  <si>
    <t>Металорукав холодної оцинковки 22мм/25м, з протяжкою</t>
  </si>
  <si>
    <t>РЗ-Ц26/25</t>
  </si>
  <si>
    <t>Металорукав холодної оцинковки 26мм/25м, з протяжкою</t>
  </si>
  <si>
    <t>1б.Металорукав з протяжкою ДУ</t>
  </si>
  <si>
    <t>РЗ-Ц11/25м</t>
  </si>
  <si>
    <t>Металорукав  ДУ11мм/25м, з протяжкою</t>
  </si>
  <si>
    <t>РЗ-Ц22/50м</t>
  </si>
  <si>
    <t>Металорукав  ДУ22мм/50м, з протяжкою</t>
  </si>
  <si>
    <t>1в.Металорукав гарячого цинкування з протяжкою LIGHT</t>
  </si>
  <si>
    <t>РЗл-Ц-0950</t>
  </si>
  <si>
    <t>Металорукав з протяжкою гарячого цинкування 09мм/50м Light</t>
  </si>
  <si>
    <t>РЗл-Ц-1110</t>
  </si>
  <si>
    <t>Металорукав з протяжкою гарячого цинкування 11мм/10м Light</t>
  </si>
  <si>
    <t>РЗл-Ц-1125</t>
  </si>
  <si>
    <t>Металорукав з протяжкою гарячого цинкування 11мм/25м Light</t>
  </si>
  <si>
    <t>РЗл-Ц-1150</t>
  </si>
  <si>
    <t>Металорукав з протяжкою гарячого цинкування 11мм/50м Light</t>
  </si>
  <si>
    <t>РЗл-Ц-1410</t>
  </si>
  <si>
    <t>Металорукав з протяжкою гарячого цинкування 14мм/10м Light</t>
  </si>
  <si>
    <t>РЗл-Ц-1425</t>
  </si>
  <si>
    <t>Металорукав з протяжкою гарячого цинкування 14мм/25м Light</t>
  </si>
  <si>
    <t>РЗл-Ц-1450</t>
  </si>
  <si>
    <t>Металорукав з протяжкою гарячого цинкування 14мм/50м Light</t>
  </si>
  <si>
    <t>РЗл-Ц-1810</t>
  </si>
  <si>
    <t>Металорукав з протяжкою гарячого цинкування 18мм/10м Light</t>
  </si>
  <si>
    <t>РЗл-Ц-1825</t>
  </si>
  <si>
    <t>Металорукав з протяжкою гарячого цинкування 18мм/25м Light</t>
  </si>
  <si>
    <t>РЗл-Ц-1850</t>
  </si>
  <si>
    <t>Металорукав з протяжкою гарячого цинкування 18мм/50м Light</t>
  </si>
  <si>
    <t>РЗл-Ц-2025</t>
  </si>
  <si>
    <t>Металорукав з протяжкою гарячого цинкування 20мм/25м Light</t>
  </si>
  <si>
    <t>РЗл-Ц-2050</t>
  </si>
  <si>
    <t>Металорукав з протяжкою гарячого цинкування 20мм/50м Light</t>
  </si>
  <si>
    <t>РЗл-Ц-2225</t>
  </si>
  <si>
    <t>Металорукав з протяжкою гарячого цинкування 22мм/25м Light</t>
  </si>
  <si>
    <t>РЗл-Ц-2250</t>
  </si>
  <si>
    <t>Металорукав з протяжкою гарячого цинкування 22мм/50м Light</t>
  </si>
  <si>
    <t>РЗл-Ц-2625</t>
  </si>
  <si>
    <t>Металорукав з протяжкою гарячого цинкування 26мм/25м Light</t>
  </si>
  <si>
    <t>2.Металлорукав ізольований SLFS серії STAND</t>
  </si>
  <si>
    <t>s032027</t>
  </si>
  <si>
    <t>Металорукав e.met.sleeve.stand.proof.slfs.08 оцинкований, ізольований (100м)</t>
  </si>
  <si>
    <t>s032028</t>
  </si>
  <si>
    <t>Металорукав e.met.sleeve.stand.proof.slfs.10 оцинкований, ізольований (100м)</t>
  </si>
  <si>
    <t>s032029</t>
  </si>
  <si>
    <t>Металорукав e.met.sleeve.stand.proof.slfs.12 оцинкований, ізольований (100м)</t>
  </si>
  <si>
    <t>s032030</t>
  </si>
  <si>
    <t>Металорукав e.met.sleeve.stand.proof.slfs.15 оцинкований, ізольований (100м)</t>
  </si>
  <si>
    <t>s032031</t>
  </si>
  <si>
    <t>Металорукав e.met.sleeve.stand.proof.slfs.18 оцинкований, ізольований (50м)</t>
  </si>
  <si>
    <t>s032032</t>
  </si>
  <si>
    <t>Металорукав e.met.sleeve.stand.proof.slfs.25 оцинкований, ізольований (50м)</t>
  </si>
  <si>
    <t>s032033</t>
  </si>
  <si>
    <t>Металорукав e.met.sleeve.stand.proof.slfs.32 оцинкований, ізольований (25м)</t>
  </si>
  <si>
    <t>s032034</t>
  </si>
  <si>
    <t>Металорукав e.met.sleeve.stand.proof.slfs.38 оцинкований, ізольований (25м)</t>
  </si>
  <si>
    <t>s032035</t>
  </si>
  <si>
    <t>Металорукав e.met.sleeve.stand.proof.slfs.50 оцинкований, ізольований (20м)</t>
  </si>
  <si>
    <t>s032046</t>
  </si>
  <si>
    <t>Металорукав e.met.sleeve.stand.proof.slfs.63 оцинкований, ізольований (20м)</t>
  </si>
  <si>
    <t>s032047</t>
  </si>
  <si>
    <t>Металорукав e.met.sleeve.stand.proof.slfs.80 оцинкований, ізольований (10м)</t>
  </si>
  <si>
    <t>3.Металорукав ізольований посилений SLFG серії STAND</t>
  </si>
  <si>
    <t>s049001</t>
  </si>
  <si>
    <t>Металорукав e.met.sleeve.stand.proof.slfg.13 ізольований, посилений (100м)</t>
  </si>
  <si>
    <t>s049002</t>
  </si>
  <si>
    <t>Металорукав e.met.sleeve.stand.proof.slfg.16 ізольований, посилений (100м)</t>
  </si>
  <si>
    <t>s049003</t>
  </si>
  <si>
    <t>Металорукав e.met.sleeve.stand.proof.slfg.21 ізольований, посилений (50м)</t>
  </si>
  <si>
    <t>s049004</t>
  </si>
  <si>
    <t>Металорукав e.met.sleeve.stand.proof.slfg.26 ізольований, посилений (50м)</t>
  </si>
  <si>
    <t>s049005</t>
  </si>
  <si>
    <t>Металорукав e.met.sleeve.stand.proof.slfg.34 ізольований, посилений (25м)</t>
  </si>
  <si>
    <t>4.Металорукав в металевій оплітці BRAID серії STAND</t>
  </si>
  <si>
    <t>s050001</t>
  </si>
  <si>
    <t>Металорукав e.met.sleeve.stand.proof.braid.12 ізольований, в металевій оплітці (50м)</t>
  </si>
  <si>
    <t>s050002</t>
  </si>
  <si>
    <t>Металорукав e.met.sleeve.stand.proof.braid.15 ізольований, в металевій оплітці (50м)</t>
  </si>
  <si>
    <t>s050003</t>
  </si>
  <si>
    <t>Металорукав e.met.sleeve.stand.proof.braid.18 ізольований, в металевій оплітці (50м)</t>
  </si>
  <si>
    <t>s050004</t>
  </si>
  <si>
    <t>Металорукав e.met.sleeve.stand.proof.braid.25 ізольований, в металевій оплітці (50м)</t>
  </si>
  <si>
    <t>s050005</t>
  </si>
  <si>
    <t>Металорукав e.met.sleeve.stand.proof.braid.32 ізольований, в металевій оплітці (25м)</t>
  </si>
  <si>
    <t>s050006</t>
  </si>
  <si>
    <t>Металорукав e.met.sleeve.stand.proof.braid.38 ізольований, в металевій оплітці (30м)</t>
  </si>
  <si>
    <t>5.Вводи прямі для металорукава DIR серії STAND</t>
  </si>
  <si>
    <t>s045001</t>
  </si>
  <si>
    <t>Ввід прямий e.met.dir.stand.sldx.08 для металорукава 8мм(1/4")</t>
  </si>
  <si>
    <t>s045002</t>
  </si>
  <si>
    <t>Ввід прямий e.met.dir.stand.sldx.10 для металорукава 10мм(5/16")</t>
  </si>
  <si>
    <t>s045003</t>
  </si>
  <si>
    <t>Ввід прямий e.met.dir.stand.sldx.12 для металорукава 12мм(3/8")</t>
  </si>
  <si>
    <t>s045004</t>
  </si>
  <si>
    <t>Ввід прямий e.met.dir.stand.sldx.15 для металорукава 15мм(1/2")</t>
  </si>
  <si>
    <t>s045005</t>
  </si>
  <si>
    <t>Ввід прямий e.met.dir.stand.sldx.18 для металорукава 18мм(3/4")</t>
  </si>
  <si>
    <t>s045006</t>
  </si>
  <si>
    <t>Ввід прямий e.met.dir.stand.sldx.25 для металорукава 25мм(1")</t>
  </si>
  <si>
    <t>s045007</t>
  </si>
  <si>
    <t>Ввід прямий e.met.dir.stand.sldx.32 для металорукава 32мм(1.1/4")</t>
  </si>
  <si>
    <t>s045008</t>
  </si>
  <si>
    <t>Ввід прямий e.met.dir.stand.sldx.38 для металорукава 38мм(1.1/2")</t>
  </si>
  <si>
    <t>s045009</t>
  </si>
  <si>
    <t>Ввід прямий e.met.dir.stand.sldx.50 для металорукава 50мм(2")</t>
  </si>
  <si>
    <t>6.Вводи кутові для металорукава ANGLE серії STAND</t>
  </si>
  <si>
    <t>s046001</t>
  </si>
  <si>
    <t>Ввід кутовий e.met.angle.stand.sldx.12 для металорукава 12мм(3/8")</t>
  </si>
  <si>
    <t>s046002</t>
  </si>
  <si>
    <t>Ввід кутовий e.met.angle.stand.sldx.15 для металорукава 15мм(1/2")</t>
  </si>
  <si>
    <t>s046003</t>
  </si>
  <si>
    <t>Ввід кутовий e.met.angle.stand.sldx.18 для металорукава 18мм(3/4")</t>
  </si>
  <si>
    <t>s046004</t>
  </si>
  <si>
    <t>Ввід кутовий e.met.angle.stand.sldx.25 для металорукава 25мм(1")</t>
  </si>
  <si>
    <t>s046005</t>
  </si>
  <si>
    <t>Ввід кутовий e.met.angle.stand.sldx.32 для металорукава 32мм(1.1/4")</t>
  </si>
  <si>
    <t>s046006</t>
  </si>
  <si>
    <t>Ввід кутовий e.met.angle.stand.sldx.38 для металорукава 38мм(1.1/2")</t>
  </si>
  <si>
    <t>s046007</t>
  </si>
  <si>
    <t>Ввід кутовий e.met.angle.stand.sldx.50 для металорукава 50мм(2")</t>
  </si>
  <si>
    <t>7.З'єднувачі для металорукава CONNECT серії STAND</t>
  </si>
  <si>
    <t>s044009</t>
  </si>
  <si>
    <t>З'єднувач e.met.connect.stand.sldx.12 для металорукава 12мм(3/8")</t>
  </si>
  <si>
    <t>s044001</t>
  </si>
  <si>
    <t>З'єднувач e.met.connect.stand.sldx.15 для металорукава 15мм(1/2")</t>
  </si>
  <si>
    <t>s044002</t>
  </si>
  <si>
    <t>З'єднувач e.met.connect.stand.sldx.18 для металорукава 18мм(3/4")</t>
  </si>
  <si>
    <t>s044003</t>
  </si>
  <si>
    <t>З'єднувач e.met.connect.stand.sldx.25 для металорукава 25мм(1")</t>
  </si>
  <si>
    <t>s044004</t>
  </si>
  <si>
    <t>З'єднувач e.met.connect.stand.sldx.32 для металорукава 32мм(1.1/4")</t>
  </si>
  <si>
    <t>s044005</t>
  </si>
  <si>
    <t>З'єднувач e.met.connect.stand.sldx.38 для металорукава 38мм(1.1/2")</t>
  </si>
  <si>
    <t>s044006</t>
  </si>
  <si>
    <t>З'єднувач e.met.connect.stand.sldx.50 для металорукава 50мм(2")</t>
  </si>
  <si>
    <t>s044010</t>
  </si>
  <si>
    <t>З'єднувач e.met.connect.stand.sldx.63 для металорукава 63мм(2.1/2")</t>
  </si>
  <si>
    <t>8.Скоби монтажні металеві CLIPS серії STAND</t>
  </si>
  <si>
    <t>s043001</t>
  </si>
  <si>
    <t>Кліпса e.met.clips.stand.15.1s для металорукава 15мм(1/2"), одностороння</t>
  </si>
  <si>
    <t>s043002</t>
  </si>
  <si>
    <t>Кліпса e.met.clips.stand.18.1s для металорукава 18мм(3/4"), одностороння</t>
  </si>
  <si>
    <t>s043003</t>
  </si>
  <si>
    <t>Кліпса e.met.clips.stand.25.1s для металорукава 25мм(1"), одностороння</t>
  </si>
  <si>
    <t>s043004</t>
  </si>
  <si>
    <t>Кліпса e.met.clips.stand.32.1s для металорукава 32мм(1.1/4"), одностороння</t>
  </si>
  <si>
    <t>s043005</t>
  </si>
  <si>
    <t>Кліпса e.met.clips.stand.38.1s для металорукава 38мм(1.1/2"), одностороння</t>
  </si>
  <si>
    <t>s043006</t>
  </si>
  <si>
    <t>Кліпса e.met.clips.stand.50.1s для металорукава 50мм(2"), одностороння</t>
  </si>
  <si>
    <t>s043013</t>
  </si>
  <si>
    <t>Кліпса e.met.clips.stand.63.1s для металорукава 63мм(2.1/2"), одностороння</t>
  </si>
  <si>
    <t>s043007</t>
  </si>
  <si>
    <t>Кліпса e.met.clips.stand.15.2s для металорукава 15мм(1/2"), двостороння</t>
  </si>
  <si>
    <t>s043008</t>
  </si>
  <si>
    <t>Кліпса e.met.clips.stand.18.2s для металорукава 18мм(3/4"), двостороння</t>
  </si>
  <si>
    <t>s043009</t>
  </si>
  <si>
    <t>Кліпса e.met.clips.stand.25.2s для металорукава 25мм(1"), двостороння</t>
  </si>
  <si>
    <t>s043010</t>
  </si>
  <si>
    <t>Кліпса e.met.clips.stand.32.2s для металорукава 32мм(1.1/4"), двостороння</t>
  </si>
  <si>
    <t>s043012</t>
  </si>
  <si>
    <t>Кліпса e.met.clips.stand.50.2s для металорукава 50мм(2"), двостороння</t>
  </si>
  <si>
    <t>s043011</t>
  </si>
  <si>
    <t>Кліпса e.met.clips.stand.38.2s для металорукава 38мм(1.1/2"), двостороння</t>
  </si>
  <si>
    <t>9.Металлорукав ізольований SLHF серії STAND</t>
  </si>
  <si>
    <t>s032051</t>
  </si>
  <si>
    <t>Металорукав e.met.sleeve.stand.proof.slhf.15 ізольований, нг-HF (100м)</t>
  </si>
  <si>
    <t>s032052</t>
  </si>
  <si>
    <t>Металорукав e.met.sleeve.stand.proof.slhf.18 ізольований, нг-HF (50м)</t>
  </si>
  <si>
    <t>s032053</t>
  </si>
  <si>
    <t>Металорукав e.met.sleeve.stand.proof.slhf.25 ізольований, нг-HF (50м)</t>
  </si>
  <si>
    <t>7.Система прокладки кабелю в металевих трубах</t>
  </si>
  <si>
    <t>1.Труби металеві без різьби серії INDUSTRIAL</t>
  </si>
  <si>
    <t>i0380001</t>
  </si>
  <si>
    <t>Труба металева e.industrial.pipe.1/2" без різьби, 3.05м</t>
  </si>
  <si>
    <t>i0380002</t>
  </si>
  <si>
    <t>Труба металева e.industrial.pipe.3/4" без різьби, 3.05м</t>
  </si>
  <si>
    <t>i0380003</t>
  </si>
  <si>
    <t>Труба металева e.industrial.pipe.1" без різьби, 3.05м</t>
  </si>
  <si>
    <t>i0380004</t>
  </si>
  <si>
    <t>Труба металева e.industrial.pipe.1-1/4" без різьби, 3.05м</t>
  </si>
  <si>
    <t>i0380005</t>
  </si>
  <si>
    <t>Труба металева e.industrial.pipe.1-1/2" без різьби, 3.05м</t>
  </si>
  <si>
    <t>i0380006</t>
  </si>
  <si>
    <t>Труба металева e.industrial.pipe.2" без різьби, 3.05м</t>
  </si>
  <si>
    <t>2.Труби металеві з різьбою серії INDUSTRIAL</t>
  </si>
  <si>
    <t>i0370001</t>
  </si>
  <si>
    <t>Труба металева e.industrial.pipe.thread.1/2" з різьбою, 3.05 м</t>
  </si>
  <si>
    <t>i0370004</t>
  </si>
  <si>
    <t>Труба металева e.industrial.pipe.thread.1-1/4" з різьбою, 3.05 м</t>
  </si>
  <si>
    <t>3.Кутові з'єднувачі для труб  без різьби серії INDUSTRIAL</t>
  </si>
  <si>
    <t>i0400001</t>
  </si>
  <si>
    <t>Кутовий з'єднувач металевий e.industrial.pipe.angle.1/2" без різьби, 90 град.</t>
  </si>
  <si>
    <t>i0400002</t>
  </si>
  <si>
    <t>Кутовий з'єднувач металевий e.industrial.pipe.angle.3/4" без різьби, 90 град.</t>
  </si>
  <si>
    <t>i0400003</t>
  </si>
  <si>
    <t>Кутовий з'єднувач металевий e.industrial.pipe.angle.1" без різьби, 90 град.</t>
  </si>
  <si>
    <t>i0400004</t>
  </si>
  <si>
    <t>Кутовий з'єднувач металевий e.industrial.pipe.angle.1-1/4" без різьби, 90 град.</t>
  </si>
  <si>
    <t>i0400005</t>
  </si>
  <si>
    <t>Кутовий з'єднувач металевий e.industrial.pipe.angle.1-1/2" без різьби, 90 град.</t>
  </si>
  <si>
    <t>i0400006</t>
  </si>
  <si>
    <t>Кутовий з'єднувач металевий e.industrial.pipe.angle.2" без різьби, 90 град.</t>
  </si>
  <si>
    <t>4.Кутові з'єднувачі для труб з різьбою серії INDUSTRIAL</t>
  </si>
  <si>
    <t>i0390003</t>
  </si>
  <si>
    <t>Кутовий металевий з'єднувач e.industrial.pipe.thread.angle.1", 90 град. з різьбою</t>
  </si>
  <si>
    <t>i0390004</t>
  </si>
  <si>
    <t>Кутовий металевий з'єднувач e.industrial.pipe.thread.angle.1-1/4", 90 град. з різьбою</t>
  </si>
  <si>
    <t>i0390005</t>
  </si>
  <si>
    <t>Кутовий металевий з'єднувач e.industrial.pipe.thread.angle.1-1/2", 90 град. з різьбою</t>
  </si>
  <si>
    <t>5.З'єднувачі труб різьбові серії INDUSTRIAL</t>
  </si>
  <si>
    <t>i0420001</t>
  </si>
  <si>
    <t>З'єднувач металевий e.industrial.pipe.thread.connect.1/2", різьбовий</t>
  </si>
  <si>
    <t>i0420002</t>
  </si>
  <si>
    <t>З'єднувач металевий e.industrial.pipe.thread.connect.3/4", різьбовий</t>
  </si>
  <si>
    <t>i0420004</t>
  </si>
  <si>
    <t>З'єднувач металевий e.industrial.pipe.thread.connect.1-1/4", різьбовий</t>
  </si>
  <si>
    <t>i0420005</t>
  </si>
  <si>
    <t>З'єднувач металевий e.industrial.pipe.thread.connect.1-1/2", різьбовий</t>
  </si>
  <si>
    <t>6.З'єднувачі труб цангові серії INDUSTRIAL</t>
  </si>
  <si>
    <t>i0430001</t>
  </si>
  <si>
    <t>З'єднувач металевий e.industrial.pipe.connect.collet.1/2", цанговий</t>
  </si>
  <si>
    <t>i0430002</t>
  </si>
  <si>
    <t>З'єднувач металевий e.industrial.pipe.connect.collet.3/4", цанговий</t>
  </si>
  <si>
    <t>i0430003</t>
  </si>
  <si>
    <t>З'єднувач металевий e.industrial.pipe.connect.collet.1", цанговий</t>
  </si>
  <si>
    <t>i0430004</t>
  </si>
  <si>
    <t>З'єднувач металевий e.industrial.pipe.connect.collet.1-1/4", цанговий</t>
  </si>
  <si>
    <t>i0430005</t>
  </si>
  <si>
    <t>З'єднувач металевий e.industrial.pipe.connect.collet.1-1/2", цанговий</t>
  </si>
  <si>
    <t>i0430006</t>
  </si>
  <si>
    <t>З'єднувач металевий e.industrial.pipe.connect.collet.2", цанговий</t>
  </si>
  <si>
    <t>7.З'єднувачі труб гвинтові серії INDUSTRIAL</t>
  </si>
  <si>
    <t>i0440001</t>
  </si>
  <si>
    <t>З'єднувач металевий e.industrial.pipe.connect.screw.1/2", на гвинтах</t>
  </si>
  <si>
    <t>i0440002</t>
  </si>
  <si>
    <t>З'єднувач металевий e.industrial.pipe.connect.screw.3/4", на гвинтах</t>
  </si>
  <si>
    <t>i0440003</t>
  </si>
  <si>
    <t>З'єднувач металевий e.industrial.pipe.connect.screw.1", на гвинтах</t>
  </si>
  <si>
    <t>i0440004</t>
  </si>
  <si>
    <t>З'єднувач металевий e.industrial.pipe.connect.screw.1-1/4", на гвинтах</t>
  </si>
  <si>
    <t>i0440005</t>
  </si>
  <si>
    <t>З'єднувач металевий e.industrial.pipe.connect.screw.1-1/2", на гвинтах</t>
  </si>
  <si>
    <t>i0440006</t>
  </si>
  <si>
    <t>З'єднувач металевий e.industrial.pipe.connect.screw.2", на гвинтах</t>
  </si>
  <si>
    <t>8.Вводи різьбові для труб серії INDUSTRIAL</t>
  </si>
  <si>
    <t>i0580001</t>
  </si>
  <si>
    <t>Ввід металевий e.industrial.pipe.thread.dir.1/2", різьбовий</t>
  </si>
  <si>
    <t>i0580003</t>
  </si>
  <si>
    <t>Ввід металевий e.industrial.pipe.thread.dir.1", різьбовий</t>
  </si>
  <si>
    <t>i0580004</t>
  </si>
  <si>
    <t>Ввід металевий e.industrial.pipe.thread.dir.1-1/4", різьбовий</t>
  </si>
  <si>
    <t>i0580006</t>
  </si>
  <si>
    <t>Ввід металевий e.industrial.pipe.thread.dir.2", різьбовий</t>
  </si>
  <si>
    <t>9.Вводи гвинтові для труб серії INDUSTRIAL</t>
  </si>
  <si>
    <t>i0460001</t>
  </si>
  <si>
    <t>Ввід металевий e.industrial.pipe.dir.screw.1/2", гвинтовий</t>
  </si>
  <si>
    <t>i0460002</t>
  </si>
  <si>
    <t>Ввід металевий e.industrial.pipe.dir.screw.3/4", гвинтовий</t>
  </si>
  <si>
    <t>i0460003</t>
  </si>
  <si>
    <t>Ввід металевий e.industrial.pipe.dir.screw.1", гвинтовий</t>
  </si>
  <si>
    <t>i0460004</t>
  </si>
  <si>
    <t>Ввід металевий e.industrial.pipe.dir.screw.1-1/4", гвинтовий</t>
  </si>
  <si>
    <t>i0460005</t>
  </si>
  <si>
    <t>Ввід металевий e.industrial.pipe.dir.screw.1-1/2", гвинтовий</t>
  </si>
  <si>
    <t>i0460006</t>
  </si>
  <si>
    <t>Ввід металевий e.industrial.pipe.dir.screw.2", гвинтовий</t>
  </si>
  <si>
    <t>10.Вводи цангові для труб серії INDUSTRIAL</t>
  </si>
  <si>
    <t>i0450001</t>
  </si>
  <si>
    <t>Ввід металевий e.industrial.pipe.dir.collet.1/2", цанговий</t>
  </si>
  <si>
    <t>i0450002</t>
  </si>
  <si>
    <t>Ввід металевий e.industrial.pipe.dir.collet.3/4", цанговий</t>
  </si>
  <si>
    <t>i0450003</t>
  </si>
  <si>
    <t>Ввід металевий e.industrial.pipe.dir.collet.1", цанговий</t>
  </si>
  <si>
    <t>i0450005</t>
  </si>
  <si>
    <t>Ввід металевий e.industrial.pipe.dir.collet.1-1/2", цанговий</t>
  </si>
  <si>
    <t>i0450004</t>
  </si>
  <si>
    <t>Ввід металевий e.industrial.pipe.dir.collet.1-1/4", цанговий</t>
  </si>
  <si>
    <t>i0450006</t>
  </si>
  <si>
    <t>Ввід металевий e.industrial.pipe.dir.collet.2", цанговий</t>
  </si>
  <si>
    <t>11.Перехідники різьбові для труб серії INDUSTRIAL</t>
  </si>
  <si>
    <t>i0410001</t>
  </si>
  <si>
    <t>Перехідник металевий e.industrial.pipe.thread.bts.3/4".1/2", різьбовий, з 3/4" на 1/2"</t>
  </si>
  <si>
    <t>i0410002</t>
  </si>
  <si>
    <t>Перехідник металевий e.industrial.pipe.thread.bts.1".1/2", різьбовий, з 1" на 1/2"</t>
  </si>
  <si>
    <t>i0410003</t>
  </si>
  <si>
    <t>Перехідник металевий e.industrial.pipe.thread.bts.1".3/4", різьбовий, з 1" на 3/4"</t>
  </si>
  <si>
    <t>i0410004</t>
  </si>
  <si>
    <t>Перехідник металевий e.industrial.pipe.thread.bts.1-1/4".1/2", різьбовий, з 1-1/4" на 1/2"</t>
  </si>
  <si>
    <t>i0410005</t>
  </si>
  <si>
    <t>Перехідник металевий e.industrial.pipe.thread.bts.1-1/4".3/4", різьбовий, з 1-1/4" на 3/4"</t>
  </si>
  <si>
    <t>i0410006</t>
  </si>
  <si>
    <t>Перехідник металевий e.industrial.pipe.thread.bts.1-1/4".1", різьбовий, з 1-1/4" на 1"</t>
  </si>
  <si>
    <t>i0410007</t>
  </si>
  <si>
    <t>Перехідник металевий e.industrial.pipe.thread.bts.1-1/2".1/2", різьбовий, з 1-1/2" на 1/2"</t>
  </si>
  <si>
    <t>i0410008</t>
  </si>
  <si>
    <t>Перехідник металевий e.industrial.pipe.thread.bts.1-1/2".3/4", різьбовий, з 1-1/2" на 3/4"</t>
  </si>
  <si>
    <t>i0410009</t>
  </si>
  <si>
    <t>Перехідник металевий e.industrial.pipe.thread.bts.1-1/2".1", різьбовий, з 1-1/2" на 1"</t>
  </si>
  <si>
    <t>i0410010</t>
  </si>
  <si>
    <t>Перехідник металевий e.industrial.pipe.thread.bts.1-1/2".1-1/4", різьбовий, з 1-1/2" на 1-1/4"</t>
  </si>
  <si>
    <t>i0410013</t>
  </si>
  <si>
    <t>Перехідник металевий e.industrial.pipe.thread.bts.2".1", різьбовий, з 2" на 1"</t>
  </si>
  <si>
    <t>i0410011</t>
  </si>
  <si>
    <t>Перехідник металевий e.industrial.pipe.thread.bts.2".1/2", різьбовий, з 2" на 1/2"</t>
  </si>
  <si>
    <t>i0410012</t>
  </si>
  <si>
    <t>Перехідник металевий e.industrial.pipe.thread.bts.2".3/4", різьбовий, з 2" на 3/4"</t>
  </si>
  <si>
    <t>i0410014</t>
  </si>
  <si>
    <t>Перехідник металевий e.industrial.pipe.thread.bts.2".1-1/4", різьбовий, з 2" на 1-1/4"</t>
  </si>
  <si>
    <t>i0410015</t>
  </si>
  <si>
    <t>Перехідник металевий e.industrial.pipe.thread.bts.2".1-1/2", різьбовий, з 2" на 1-1/2"</t>
  </si>
  <si>
    <t>12.З'єднувачі ревізійні прямі серії INDUSTRIAL</t>
  </si>
  <si>
    <t>i0550001</t>
  </si>
  <si>
    <t>З'єднувач ревізійний прямий e.industrial.pipe.db.revise.direct.1/2" для труб 1/2"</t>
  </si>
  <si>
    <t>i0550002</t>
  </si>
  <si>
    <t>З'єднувач ревізійний прямий e.industrial.pipe.db.revise.direct.3/4" для труб 3/4"</t>
  </si>
  <si>
    <t>i0550003</t>
  </si>
  <si>
    <t>З'єднувач ревізійний прямий e.industrial.pipe.db.revise.direct.1" для труб 1"</t>
  </si>
  <si>
    <t>i0550004</t>
  </si>
  <si>
    <t>З'єднувач ревізійний прямий e.industrial.pipe.db.revise.direct.1-1/4" для труб 1-1/4"</t>
  </si>
  <si>
    <t>i0550005</t>
  </si>
  <si>
    <t>З'єднувач ревізійний прямий e.industrial.pipe.db.revise.direct.1-1/2" для труб 1-1/2"</t>
  </si>
  <si>
    <t>i0550006</t>
  </si>
  <si>
    <t>З'єднувач ревізійний прямий e.industrial.pipe.db.revise.direct.2" для труб 2"</t>
  </si>
  <si>
    <t>13.З'єднувачі ревізійні Г-подібні серії INDUSTRIAL</t>
  </si>
  <si>
    <t>i0540001</t>
  </si>
  <si>
    <t>З'єднувач ревізійний Г-подібний  e.industrial.pipe.db.revise.elbow.1/2" для труб 1/2"</t>
  </si>
  <si>
    <t>i0540002</t>
  </si>
  <si>
    <t>З'єднувач ревізійний Г-подібний  e.industrial.pipe.db.revise.elbow.3/4" для труб 3/4"</t>
  </si>
  <si>
    <t>i0540003</t>
  </si>
  <si>
    <t>З'єднувач ревізійний Г-подібний e.industrial.pipe.db.revise.elbow.1" для труб 1"</t>
  </si>
  <si>
    <t>i0540004</t>
  </si>
  <si>
    <t>З'єднувач ревізійний Г-подібний  e.industrial.pipe.db.revise.elbow.1-1/4" для труб 1-1/4"</t>
  </si>
  <si>
    <t>i0540005</t>
  </si>
  <si>
    <t>З'єднувач ревізійний Г-подібний  e.industrial.pipe.db.revise.elbow.1-1/2" для труб 1-1/2"</t>
  </si>
  <si>
    <t>i0540006</t>
  </si>
  <si>
    <t>З'єднувач ревізійний Г-подібний  e.industrial.pipe.db.revise.elbow.2" для труб 2"</t>
  </si>
  <si>
    <t>14.З'єднувачі ревізійні Т-подібні  INDUSTRIAL</t>
  </si>
  <si>
    <t>i0560001</t>
  </si>
  <si>
    <t>З'єднувач ревізійний Т-подібний e.industrial.pipe.db.revise.t.1/2" для труб 1/2"</t>
  </si>
  <si>
    <t>i0560002</t>
  </si>
  <si>
    <t>З'єднувач ревізійний Т-подібний e.industrial.pipe.db.revise.t.3/4" для труб 3/4"</t>
  </si>
  <si>
    <t>i0560003</t>
  </si>
  <si>
    <t>З'єднувач ревізійний Т-подібний  e.industrial.pipe.db.revise.t.1" для труб 1"</t>
  </si>
  <si>
    <t>i0560004</t>
  </si>
  <si>
    <t>З'єднувач ревізійний Т-подібний e.industrial.pipe.db.revise.t.1-1/4" для труб 1-1/4"</t>
  </si>
  <si>
    <t>i0560005</t>
  </si>
  <si>
    <t>З'єднувач ревізійний Т-подібний e.industrial.pipe.db.revise.t.1-1/2" для труб 1-1/2"</t>
  </si>
  <si>
    <t>i0560006</t>
  </si>
  <si>
    <t>З'єднувач ревізійний Т-подібний e.industrial.pipe.db.revise.t.2" для труб 2"</t>
  </si>
  <si>
    <t>15.Коробки розпаячні для труб серії INDUSTRIAL</t>
  </si>
  <si>
    <t>i0520001</t>
  </si>
  <si>
    <t>Коробка розпаячна e.industrial.pipe.db для труб, металева квадратна з кришкою, товщина стінки 1,5ммм</t>
  </si>
  <si>
    <t>i0520002</t>
  </si>
  <si>
    <t>Коробка розпаячна e.industrial.pipe.db.octa для труб, металева восьмикутна з кришкою, товщина стінки 1,5ммм</t>
  </si>
  <si>
    <t>16.Коробки монтажні для труб серії INDUSTRIAL</t>
  </si>
  <si>
    <t>i0530009</t>
  </si>
  <si>
    <t>Кришка до коробки монтажної  металевої e.industrial.pipe.db.cover</t>
  </si>
  <si>
    <t>i0530012</t>
  </si>
  <si>
    <t>Кришка кругла до коробки монтажної  металевої e.industrial.pipe.db.round.cover</t>
  </si>
  <si>
    <t>i0530010</t>
  </si>
  <si>
    <t>Коробка монтажна металева без кришки e.industrial.pipe.db.round.thread.5.x.1/2", кругла  на 5 різьбових вводів для труб 1/2"</t>
  </si>
  <si>
    <t>i0530011</t>
  </si>
  <si>
    <t>Коробка монтажна металева без кришки e.industrial.pipe.db.round.thread.5.x.3/4", кругла  на 5 різьбових вводів для труб 3/4"</t>
  </si>
  <si>
    <t>i0530001</t>
  </si>
  <si>
    <t>Коробка монтажна  металева без кришки e.industrial.pipe.db.thread.3.1/2" з 3 різьбовими вводами 1/2"</t>
  </si>
  <si>
    <t>i0530002</t>
  </si>
  <si>
    <t>Коробка монтажна  металева без кришки e.industrial.pipe.db.thread.3.3/4" з 3 різьбовими вводами 3/4"</t>
  </si>
  <si>
    <t>i0530003</t>
  </si>
  <si>
    <t>Коробка монтажна  металева без кришки e.industrial.pipe.db.thread.4.1/2" з 4 різьбовими вводами 1/2"</t>
  </si>
  <si>
    <t>i0530004</t>
  </si>
  <si>
    <t>Коробка монтажна металева без кришки e.industrial.pipe.db.thread.4.3/4" з 4 різьбовими вводами 3/4"</t>
  </si>
  <si>
    <t>i0530005</t>
  </si>
  <si>
    <t>Коробка монтажна металева без кришки e.industrial.pipe.db.thread.5.1/2" з 5 різьбовими вводами 1/2"</t>
  </si>
  <si>
    <t>i0530006</t>
  </si>
  <si>
    <t>Коробка монтажна металева без кришки e.industrial.pipe.db.thread.5.3/4" з 5 різьбовими вводами 3/4"</t>
  </si>
  <si>
    <t>i0530007</t>
  </si>
  <si>
    <t>Коробка монтажна металева без кришки e.industrial.pipe.db.thread.5.х.1/2" з 5 різьбовими вводами 1/2"</t>
  </si>
  <si>
    <t>i0530008</t>
  </si>
  <si>
    <t>Коробка монтажна металева без кришки e.industrial.pipe.db.thread.5.х.3/4" з 5 різьбовими вводами 3/4"</t>
  </si>
  <si>
    <t>17.Заглушки різьбові серії INDUSTRIAL</t>
  </si>
  <si>
    <t>i0570001</t>
  </si>
  <si>
    <t>Заглушка різьбова e.industrial.cap.1/2"</t>
  </si>
  <si>
    <t>i0570002</t>
  </si>
  <si>
    <t>Заглушка різьбова e.industrial.cap.3/4"</t>
  </si>
  <si>
    <t>18.Кріплення для підвіски труб серії INDUSTRIAL</t>
  </si>
  <si>
    <t>i0470001</t>
  </si>
  <si>
    <t>Кріплення металеве e.industrial.pipe.clip.hang.1/2"  для підвіски труб</t>
  </si>
  <si>
    <t>i0470002</t>
  </si>
  <si>
    <t>Кріплення металеве e.industrial.pipe.clip.hang.3/4"  для підвіски труб</t>
  </si>
  <si>
    <t>i0470003</t>
  </si>
  <si>
    <t>Кріплення металеве e.industrial.pipe.clip.hang.1"  для підвіски труб</t>
  </si>
  <si>
    <t>i0470005</t>
  </si>
  <si>
    <t>Кріплення металеве e.industrial.pipe.clip.hang.1-1/2"  для підвіски труб</t>
  </si>
  <si>
    <t>i0470004</t>
  </si>
  <si>
    <t>Кріплення металеве e.industrial.pipe.clip.hang.1-1/4"  для підвіски труб</t>
  </si>
  <si>
    <t>i0470006</t>
  </si>
  <si>
    <t>Кріплення металеве e.industrial.pipe.clip.hang.2"  для підвіски труб</t>
  </si>
  <si>
    <t>19.Монтажні профілі для труб серії INDUSTRIAL</t>
  </si>
  <si>
    <t>i0490001</t>
  </si>
  <si>
    <t>Профіль монтажний перфорований e.industrial.strut.chanel.40.20.1.5 для труб, 3.05м, 40х20мм, 1,5мм</t>
  </si>
  <si>
    <t>20.Затискачі профілю для труб серії INDUSTRIAL</t>
  </si>
  <si>
    <t>i0500001</t>
  </si>
  <si>
    <t>Затискач профілю монтажного e.industrial.strut.clamp.1/2" для труб 1/2"</t>
  </si>
  <si>
    <t>i0500002</t>
  </si>
  <si>
    <t>Затискач профілю монтажного e.industrial.strut.clamp.3/4" для труб 3/4"</t>
  </si>
  <si>
    <t>i0500003</t>
  </si>
  <si>
    <t>Затискач профілю монтажного e.industrial.strut.clamp.1" для труб 1"</t>
  </si>
  <si>
    <t>i0500005</t>
  </si>
  <si>
    <t>Затискач профілю монтажного e.industrial.strut.clamp.1-1/2" для труб 1-1/2"</t>
  </si>
  <si>
    <t>i0500004</t>
  </si>
  <si>
    <t>Затискач профілю монтажного e.industrial.strut.clamp.1-1/4" для труб 1-1/4"</t>
  </si>
  <si>
    <t>i0500006</t>
  </si>
  <si>
    <t>Затискач профілю монтажного e.industrial.strut.clamp.2" для труб 2"</t>
  </si>
  <si>
    <t>21.Трубогиб для труб серії INDUSTRIAL</t>
  </si>
  <si>
    <t>i0510001</t>
  </si>
  <si>
    <t>Трубогиб e.industrial.pipe.bender.1/2" для труби 1/2"</t>
  </si>
  <si>
    <t>i0510002</t>
  </si>
  <si>
    <t>Трубогиб e.industrial.pipe.bender.3/4" для труби 3/4"</t>
  </si>
  <si>
    <t>i0510003</t>
  </si>
  <si>
    <t>Трубогиб e.industrial.pipe.bender.1" для труби 1"</t>
  </si>
  <si>
    <t>8.Лотки металеві ARDIC</t>
  </si>
  <si>
    <t>0. Комплектація</t>
  </si>
  <si>
    <t>Cover100</t>
  </si>
  <si>
    <t>Кришка лотка 100мм, 3м</t>
  </si>
  <si>
    <t>Cover160</t>
  </si>
  <si>
    <t>Кришка лотка 160мм, 3м</t>
  </si>
  <si>
    <t>Cover200</t>
  </si>
  <si>
    <t>Кришка лотка 200мм, 3м</t>
  </si>
  <si>
    <t>Cover50</t>
  </si>
  <si>
    <t>Кришка лотка 50мм, 3м</t>
  </si>
  <si>
    <t>FIX100</t>
  </si>
  <si>
    <t>Фіксатор кришки 100мм</t>
  </si>
  <si>
    <t>1. Лоток дротовий</t>
  </si>
  <si>
    <t>1. Лоток дротовий Н 35 мм</t>
  </si>
  <si>
    <t>ATK-05-04</t>
  </si>
  <si>
    <t>Лоток дротовий 50х35 4.0 мм, довжина 3 м</t>
  </si>
  <si>
    <t>ATK-07-04</t>
  </si>
  <si>
    <t>Лоток дротовий 70х35 4.0 мм, довжина 3 м</t>
  </si>
  <si>
    <t>ATK-10-04</t>
  </si>
  <si>
    <t>Лоток дротовий 100х35 4.0 мм, довжина 3 м</t>
  </si>
  <si>
    <t>ATK-15-04</t>
  </si>
  <si>
    <t>Лоток дротовий 150х35 4.0 мм, довжина 3 м</t>
  </si>
  <si>
    <t>ATK-20-04</t>
  </si>
  <si>
    <t>Лоток дротовий 200х35 4.0 мм, довжина 3 м</t>
  </si>
  <si>
    <t>ATK-30-04</t>
  </si>
  <si>
    <t>Лоток дротовий 300х35 4.0 мм, довжина 3 м</t>
  </si>
  <si>
    <t>ATK-40-05</t>
  </si>
  <si>
    <t>Лоток дротовий 400х35 5.0 мм, довжина 3 м</t>
  </si>
  <si>
    <t>ATK-50-05</t>
  </si>
  <si>
    <t>Лоток дротовий 500х35 5.0 мм, довжина 3 м</t>
  </si>
  <si>
    <t>ATK-60-05</t>
  </si>
  <si>
    <t>Лоток дротовий 600х35 5.0 мм, довжина 3 м</t>
  </si>
  <si>
    <t>2. Лоток дротовий Н 50 мм</t>
  </si>
  <si>
    <t>ATK-05-14</t>
  </si>
  <si>
    <t>Лоток дротовий 50х50 4.0 мм, довжина 3 м</t>
  </si>
  <si>
    <t>ATK-07-14</t>
  </si>
  <si>
    <t>Лоток дротовий 70х50 4.0 мм, довжина 3 м</t>
  </si>
  <si>
    <t>ATK-10-14</t>
  </si>
  <si>
    <t>Лоток дротовий 100х50 4.0 мм, довжина 3 м</t>
  </si>
  <si>
    <t>ATK-15-14</t>
  </si>
  <si>
    <t>Лоток дротовий 150х50 4.0 мм, довжина 3 м</t>
  </si>
  <si>
    <t>ATK-20-14</t>
  </si>
  <si>
    <t>Лоток дротовий 200х50 4.0 мм, довжина 3 м</t>
  </si>
  <si>
    <t>ATK-30-15</t>
  </si>
  <si>
    <t>Лоток дротовий 300х50 5.0 мм, довжина 3 м</t>
  </si>
  <si>
    <t>ATK-40-15</t>
  </si>
  <si>
    <t>Лоток дротовий 400х50 5.0 мм, довжина 3 м</t>
  </si>
  <si>
    <t>ATK-50-15</t>
  </si>
  <si>
    <t>Лоток дротовий 500х50 5.0 мм, довжина 3 м</t>
  </si>
  <si>
    <t>ATK-60-15</t>
  </si>
  <si>
    <t>Лоток дротовий 600х50 5.0 мм, довжина 3 м</t>
  </si>
  <si>
    <t>3. Лоток дротовий Н 75 мм</t>
  </si>
  <si>
    <t>ATK-10-44</t>
  </si>
  <si>
    <t>Лоток дротовий 100х75 4.0 мм, довжина 3 м</t>
  </si>
  <si>
    <t>ATK-15-44</t>
  </si>
  <si>
    <t>Лоток дротовий 150х75 4.0 мм, довжина 3 м</t>
  </si>
  <si>
    <t>ATK-20-44</t>
  </si>
  <si>
    <t>Лоток дротовий 200х75 4.0 мм, довжина 3 м</t>
  </si>
  <si>
    <t>ATK-30-45</t>
  </si>
  <si>
    <t>Лоток дротовий 300х75 5.0 мм, довжина 3 м</t>
  </si>
  <si>
    <t>ATK-40-45</t>
  </si>
  <si>
    <t>Лоток дротовий 400х75 5.0 мм, довжина 3 м</t>
  </si>
  <si>
    <t>ATK-50-45</t>
  </si>
  <si>
    <t>Лоток дротовий 500х75 5.0 мм, довжина 3 м</t>
  </si>
  <si>
    <t>ATK-60-45</t>
  </si>
  <si>
    <t>Лоток дротовий 600х75 5.0 мм, довжина 3 м</t>
  </si>
  <si>
    <t>4. Лоток дротовий Н 100 мм</t>
  </si>
  <si>
    <t>ATK-10-24</t>
  </si>
  <si>
    <t>Лоток дротовий 100х100 4.0 мм, довжина 3 м</t>
  </si>
  <si>
    <t>ATK-15-24</t>
  </si>
  <si>
    <t>Лоток дротовий 150х100 4.0 мм, довжина 3 м</t>
  </si>
  <si>
    <t>ATK-20-24</t>
  </si>
  <si>
    <t>Лоток дротовий 200х100 4.0 мм, довжина 3 м</t>
  </si>
  <si>
    <t>ATK-30-25</t>
  </si>
  <si>
    <t>Лоток дротовий 300х100 5.0 мм, довжина 3 м</t>
  </si>
  <si>
    <t>ATK-40-25</t>
  </si>
  <si>
    <t>Лоток дротовий 400х100 5.0 мм, довжина 3 м</t>
  </si>
  <si>
    <t>ATK-50-25</t>
  </si>
  <si>
    <t>Лоток дротовий 500х100 5.0 мм, довжина 3 м</t>
  </si>
  <si>
    <t>ATK-60-25</t>
  </si>
  <si>
    <t>Лоток дротовий 600х100 5.0 мм, довжина 3 м</t>
  </si>
  <si>
    <t>5. Аксесуари до лотку дротового</t>
  </si>
  <si>
    <t>ATK-14</t>
  </si>
  <si>
    <t>Закріплювальний елемент для настінного і підлогового монтажу ATK-14</t>
  </si>
  <si>
    <t>ATK-3</t>
  </si>
  <si>
    <t>З'єднувальна пластина 225 мм ATK-3</t>
  </si>
  <si>
    <t>ATK-5-2</t>
  </si>
  <si>
    <t>З'єднувальна пластина 370 мм ATK-5-2</t>
  </si>
  <si>
    <t>ATK-6-1</t>
  </si>
  <si>
    <t>З'єднувальний комплект ATK-6-1</t>
  </si>
  <si>
    <t>ATK-6-1-U</t>
  </si>
  <si>
    <t>З'єднувальний комплект ATK-6-1-U</t>
  </si>
  <si>
    <t>ATK-6-2</t>
  </si>
  <si>
    <t>З'єднувальний комплект ATK-6-2</t>
  </si>
  <si>
    <t>ATK-6-3</t>
  </si>
  <si>
    <t>З'єднувальний комплект подвійний ATK-6-3</t>
  </si>
  <si>
    <t>ATK-8</t>
  </si>
  <si>
    <t>Швидкий з'єднувач ATK-8</t>
  </si>
  <si>
    <t>ATPK-1</t>
  </si>
  <si>
    <t>Клема заземлення ATPK-1</t>
  </si>
  <si>
    <t>ATK-11</t>
  </si>
  <si>
    <t>Пластина підвісу ATK-11</t>
  </si>
  <si>
    <t>ATK-12</t>
  </si>
  <si>
    <t>Пластина підвісу ATK-12</t>
  </si>
  <si>
    <t>ATK-10</t>
  </si>
  <si>
    <t>Скоба підвісу ATK-10</t>
  </si>
  <si>
    <t>ATK-T4</t>
  </si>
  <si>
    <t>Тримач ATK-T4</t>
  </si>
  <si>
    <t>ATK-15</t>
  </si>
  <si>
    <t>Тримач лотка ATK-15</t>
  </si>
  <si>
    <t>ATK-13</t>
  </si>
  <si>
    <t>Універсальна затискна скоба ATK-13</t>
  </si>
  <si>
    <t>FixDz</t>
  </si>
  <si>
    <t>Фіксатор кришки для дротяного лотка</t>
  </si>
  <si>
    <t>6. Кронштейни до лотку дротового</t>
  </si>
  <si>
    <t>AT6-05</t>
  </si>
  <si>
    <t>Консоль кронштейна (без зварювання) AT6-05 60 мм товщ.1,5 мм</t>
  </si>
  <si>
    <t>AT6-08</t>
  </si>
  <si>
    <t>Консоль кронштейна (без зварювання) AT6-08 90 мм товщ.1,5 мм</t>
  </si>
  <si>
    <t>AT6-10</t>
  </si>
  <si>
    <t>Консоль кронштейна (без зварювання) AT6-10 110 мм товщ.1,5 мм</t>
  </si>
  <si>
    <t>AT6-16</t>
  </si>
  <si>
    <t>Консоль кронштейна (без зварювання) AT6-16 170 мм товщ.1,5 мм</t>
  </si>
  <si>
    <t>AT6-20</t>
  </si>
  <si>
    <t>Консоль кронштейна (без зварювання) AT6-20 210 мм товщ.1,5 мм</t>
  </si>
  <si>
    <t>AT6-30</t>
  </si>
  <si>
    <t>Консоль кронштейна (без зварювання) AT6-30 310 мм товщ.1,5 мм</t>
  </si>
  <si>
    <t>AT6-40</t>
  </si>
  <si>
    <t>Консоль кронштейна (без зварювання) AT6-40 410 мм товщ.2,0 мм</t>
  </si>
  <si>
    <t>AT6-50</t>
  </si>
  <si>
    <t>Консоль кронштейна (без зварювання) AT6-50 510 мм товщ.2,0 мм</t>
  </si>
  <si>
    <t>AT6-60</t>
  </si>
  <si>
    <t>Консоль кронштейна (без зварювання) AT6-60 610 мм товщ.2,0 мм</t>
  </si>
  <si>
    <t>AT6-10K</t>
  </si>
  <si>
    <t>Консоль кронштейна (зварна) 100 мм товщ.1,5 мм</t>
  </si>
  <si>
    <t>AT6-20K</t>
  </si>
  <si>
    <t>Консоль кронштейна (зварна) 200 мм товщ.1,5 мм</t>
  </si>
  <si>
    <t>AT6-30K</t>
  </si>
  <si>
    <t>Консоль кронштейна (зварна) 300 мм товщ.1,5 мм</t>
  </si>
  <si>
    <t>AT6-40K</t>
  </si>
  <si>
    <t>Консоль кронштейна (зварна) 400 мм товщ.1,5 мм</t>
  </si>
  <si>
    <t>AT6-50K</t>
  </si>
  <si>
    <t>Консоль кронштейна (зварна) 500 мм товщ.1,5 мм</t>
  </si>
  <si>
    <t>AT6-60K</t>
  </si>
  <si>
    <t>Консоль кронштейна (зварна) 600 мм товщ.1,5 мм</t>
  </si>
  <si>
    <t>AYDT-10-5</t>
  </si>
  <si>
    <t>Пластина дистанційна AYDT-10-5 H 50, 100 мм</t>
  </si>
  <si>
    <t>AYDT-20-5</t>
  </si>
  <si>
    <t>Пластина дистанційна AYDT-20-5 H 50, 200 мм</t>
  </si>
  <si>
    <t>AYDT-10-4</t>
  </si>
  <si>
    <t>Пластина дистанційна дротяного лотка H:40 мм L:100 мм</t>
  </si>
  <si>
    <t>AYDT-15-4</t>
  </si>
  <si>
    <t>Пластина дистанційна дротяного лотка H:40 мм L:160 мм</t>
  </si>
  <si>
    <t>AYDT-20-4</t>
  </si>
  <si>
    <t>Пластина дистанційна дротяного лотка H:40 мм L:200 мм</t>
  </si>
  <si>
    <t>AYDT-30-4</t>
  </si>
  <si>
    <t>Пластина дистанційна дротяного лотка H:40 мм L:300 мм</t>
  </si>
  <si>
    <t>AYDT-40-4</t>
  </si>
  <si>
    <t>Пластина дистанційна дротяного лотка H:40 мм L:400 мм</t>
  </si>
  <si>
    <t>AYDT-50-4</t>
  </si>
  <si>
    <t>Пластина дистанційна дротяного лотка H:40 мм L:500 мм</t>
  </si>
  <si>
    <t>AYDT-60-4</t>
  </si>
  <si>
    <t>Пластина дистанційна дротяного лотка H:40 мм L:600 мм</t>
  </si>
  <si>
    <t>ACT-3-21-05</t>
  </si>
  <si>
    <t>С подібна консоль  Н 21 L:  60 Т:2</t>
  </si>
  <si>
    <t>ACT-3-21-08</t>
  </si>
  <si>
    <t>С подібна консоль  Н 21 L:  90 Т:2</t>
  </si>
  <si>
    <t>ACT-3-21-10</t>
  </si>
  <si>
    <t>С подібна консоль  Н 21 L: 110 Т:2</t>
  </si>
  <si>
    <t>ACT-3-21-16</t>
  </si>
  <si>
    <t>С подібна консоль  Н 21 L: 170 Т:2</t>
  </si>
  <si>
    <t>ACT-3-21-20</t>
  </si>
  <si>
    <t>С подібна консоль  Н 21 L: 210 Т:2</t>
  </si>
  <si>
    <t>ACT-3-21-30</t>
  </si>
  <si>
    <t>С подібна консоль  Н 21 L: 310 Т:2</t>
  </si>
  <si>
    <t>ACT-3-21-40</t>
  </si>
  <si>
    <t>С подібна консоль  Н 21 L: 410 Т:2</t>
  </si>
  <si>
    <t>ACT-3-21-50</t>
  </si>
  <si>
    <t>С подібна консоль  Н 21 L: 510 Т:2</t>
  </si>
  <si>
    <t>ACT-3-21-60</t>
  </si>
  <si>
    <t>С подібна консоль  Н 21 L: 610 Т:2</t>
  </si>
  <si>
    <t>ACT-3-41-05</t>
  </si>
  <si>
    <t>С подібна консоль  Н 41 L:  60 Т:2</t>
  </si>
  <si>
    <t>ACT-3-41-08</t>
  </si>
  <si>
    <t>С подібна консоль  Н 41 L:  90 Т:2</t>
  </si>
  <si>
    <t>ACT-3-41-10</t>
  </si>
  <si>
    <t>С подібна консоль  Н 41 L: 110 Т:2</t>
  </si>
  <si>
    <t>ACT-3-41-16</t>
  </si>
  <si>
    <t>С подібна консоль  Н 41 L: 170 Т:2</t>
  </si>
  <si>
    <t>ACT-3-41-20</t>
  </si>
  <si>
    <t>С подібна консоль  Н 41 L: 210 Т:2</t>
  </si>
  <si>
    <t>ACT-3-41-30</t>
  </si>
  <si>
    <t>С подібна консоль  Н 41 L: 310 Т:2</t>
  </si>
  <si>
    <t>ACT-3-41-40</t>
  </si>
  <si>
    <t>С подібна консоль  Н 41 L: 410 Т:2</t>
  </si>
  <si>
    <t>ACT-3-41-50</t>
  </si>
  <si>
    <t>С подібна консоль  Н 41 L: 510 Т:2</t>
  </si>
  <si>
    <t>ACT-3-41-60</t>
  </si>
  <si>
    <t>С подібна консоль  Н 41 L: 610 Т:2</t>
  </si>
  <si>
    <t>AT5-4-16</t>
  </si>
  <si>
    <t>Тримач лотка AT5-4-16 220мм</t>
  </si>
  <si>
    <t>AT5-4-20</t>
  </si>
  <si>
    <t>AT5-4-30</t>
  </si>
  <si>
    <t>Тримач лотка AT5-4-30 360мм</t>
  </si>
  <si>
    <t>AT5-4-40</t>
  </si>
  <si>
    <t>Тримач лотка AT5-4-40 460мм</t>
  </si>
  <si>
    <t>AT5-4-50</t>
  </si>
  <si>
    <t>Тримач лотка AT5-4-50 560мм</t>
  </si>
  <si>
    <t>AT5-4-60</t>
  </si>
  <si>
    <t>3. Листові лотки</t>
  </si>
  <si>
    <t>2. Лоток перфорований Н 50 мм</t>
  </si>
  <si>
    <t>3. Лоток перфорований Н 80 мм</t>
  </si>
  <si>
    <t>A10-18A-07</t>
  </si>
  <si>
    <t>Лоток перфорований 100х80, 3 м, товщ 0,7 мм.</t>
  </si>
  <si>
    <t>A16-18A-07</t>
  </si>
  <si>
    <t>Лоток перфорований 160х80, 3 м, товщ 0,7 мм.</t>
  </si>
  <si>
    <t>A40-18A-10</t>
  </si>
  <si>
    <t>Лоток перфорований 400х80, 3 м, товщ 1,0 мм.</t>
  </si>
  <si>
    <t>A30-18A-20</t>
  </si>
  <si>
    <t>Лоток перфорований 300х80, 3 м, товщ 2,0 мм.</t>
  </si>
  <si>
    <t>4. Лоток перфорований Н 100 мм</t>
  </si>
  <si>
    <t>AA20-08</t>
  </si>
  <si>
    <t>Лоток перфорований 200х100, 3 м, товщ. 0,8 мм</t>
  </si>
  <si>
    <t>AA30-08</t>
  </si>
  <si>
    <t>Лоток перфорований 300х100, 3 м, товщ. 0,8 мм</t>
  </si>
  <si>
    <t>AA40-10</t>
  </si>
  <si>
    <t>Лоток перфорований 400х100, 3 м, товщ. 1,0 мм</t>
  </si>
  <si>
    <t>6. Лоток неперфорований Н 50 мм</t>
  </si>
  <si>
    <t>A20-15A-08n</t>
  </si>
  <si>
    <t>Лоток неперфорований  200х50, 3 м, товщ. 0,8 мм.</t>
  </si>
  <si>
    <t>A30-15A-08n</t>
  </si>
  <si>
    <t>Лоток неперфорований  300х50, 3 м, товщ. 0,8 мм.</t>
  </si>
  <si>
    <t>7. Лоток неперфорований Н 80 мм</t>
  </si>
  <si>
    <t>A10-18A-07n</t>
  </si>
  <si>
    <t>Лоток неперфорований  100х80, 3 м, товщ. 0,7 мм.</t>
  </si>
  <si>
    <t>A20-18A-08n</t>
  </si>
  <si>
    <t>Лоток неперфорований  200х80, 3 м, товщ. 0,8 мм.</t>
  </si>
  <si>
    <t>A30-18A-08n</t>
  </si>
  <si>
    <t>Лоток неперфорований  300х80, 3 м, товщ. 0,8 мм.</t>
  </si>
  <si>
    <t>8. Лоток неперфорований Н 100 мм</t>
  </si>
  <si>
    <t>AA10-07n</t>
  </si>
  <si>
    <t>Лоток неперфорований  100х100, 3 м, товщ. 0,7 мм.</t>
  </si>
  <si>
    <t>AA20-08n</t>
  </si>
  <si>
    <t>Лоток неперфорований  200х100, 3 м, товщ. 0,8 мм.</t>
  </si>
  <si>
    <t>9. Аксесуари до лотку Н 40 мм</t>
  </si>
  <si>
    <t>105-4</t>
  </si>
  <si>
    <t>Кут горизонтальний 90 град  50х40 мм</t>
  </si>
  <si>
    <t>110-4</t>
  </si>
  <si>
    <t>Кут горизонтальний 90 град 100х40 мм</t>
  </si>
  <si>
    <t>205-4</t>
  </si>
  <si>
    <t>Т-відвід горизонтальний 90 град  50х40 мм</t>
  </si>
  <si>
    <t>210-4</t>
  </si>
  <si>
    <t>Т-відвід горизонтальний 90 град 100х40 мм</t>
  </si>
  <si>
    <t>205-4P</t>
  </si>
  <si>
    <t>Відгалужувач горизонтальний  50х40</t>
  </si>
  <si>
    <t>210-4P</t>
  </si>
  <si>
    <t>Відгалужувач горизонтальний  100х40</t>
  </si>
  <si>
    <t>310-4</t>
  </si>
  <si>
    <t>Хрестовина 100х40 мм</t>
  </si>
  <si>
    <t>901-4A</t>
  </si>
  <si>
    <t>Шарнірний з'єднувач 40 мм</t>
  </si>
  <si>
    <t>AGY10-4A</t>
  </si>
  <si>
    <t>Т-відвід вертикальний 100х40 мм</t>
  </si>
  <si>
    <t>505-605-4A</t>
  </si>
  <si>
    <t>Арка універсальна 90 град ( з регулюванням ) A:50, H:40</t>
  </si>
  <si>
    <t>510-610-4A</t>
  </si>
  <si>
    <t>Арка універсальна 90 град ( з регулюванням ) A:100, H:40</t>
  </si>
  <si>
    <t>10. Аксесуари до лотку Н 50 мм</t>
  </si>
  <si>
    <t>105-5</t>
  </si>
  <si>
    <t>Кут горизонтальний 90 град  50х50</t>
  </si>
  <si>
    <t>116-5</t>
  </si>
  <si>
    <t>Кут горизонтальний 90 град 160х50</t>
  </si>
  <si>
    <t>120-5</t>
  </si>
  <si>
    <t>Кут горизонтальний 90 град 200х50</t>
  </si>
  <si>
    <t>130-5</t>
  </si>
  <si>
    <t>Кут горизонтальний 90 град 300х50</t>
  </si>
  <si>
    <t>140-5</t>
  </si>
  <si>
    <t>Кут горизонтальний 90 град 400х50</t>
  </si>
  <si>
    <t>205-5</t>
  </si>
  <si>
    <t>Т-відвід горизонтальний  50х50</t>
  </si>
  <si>
    <t>220-5</t>
  </si>
  <si>
    <t>Т-відвід горизонтальний 200х50</t>
  </si>
  <si>
    <t>230-5</t>
  </si>
  <si>
    <t>Т-відвід горизонтальний 300х50</t>
  </si>
  <si>
    <t>240-5</t>
  </si>
  <si>
    <t>Т-відвід горизонтальний 400х50</t>
  </si>
  <si>
    <t>205-5P</t>
  </si>
  <si>
    <t>Відгалужувач горизонтальний 50х50</t>
  </si>
  <si>
    <t>210-5P</t>
  </si>
  <si>
    <t>Відгалужувач горизонтальний 100х50</t>
  </si>
  <si>
    <t>216-5P</t>
  </si>
  <si>
    <t>Відгалужувач горизонтальний 160х50</t>
  </si>
  <si>
    <t>220-5P</t>
  </si>
  <si>
    <t>Відгалужувач горизонтальний 200х50</t>
  </si>
  <si>
    <t>230-5P</t>
  </si>
  <si>
    <t>Відгалужувач горизонтальний 300х50</t>
  </si>
  <si>
    <t>240-5P</t>
  </si>
  <si>
    <t>Відгалужувач горизонтальний 400х50</t>
  </si>
  <si>
    <t>310-5</t>
  </si>
  <si>
    <t>Хрестовина 100х50</t>
  </si>
  <si>
    <t>316-5</t>
  </si>
  <si>
    <t>Хрестовина 160х50</t>
  </si>
  <si>
    <t>320-5</t>
  </si>
  <si>
    <t>Хрестовина 200х50</t>
  </si>
  <si>
    <t>330-5</t>
  </si>
  <si>
    <t>Хрестовина 300х50</t>
  </si>
  <si>
    <t>340-5</t>
  </si>
  <si>
    <t>Хрестовина 400х50</t>
  </si>
  <si>
    <t>405-5P-L</t>
  </si>
  <si>
    <t>Лівобічна редукція легка  50х50 мм</t>
  </si>
  <si>
    <t>410-5P-L</t>
  </si>
  <si>
    <t>Лівобічна редукція легка 100х50 мм</t>
  </si>
  <si>
    <t>405-5P-M</t>
  </si>
  <si>
    <t>Двобічна редукція легка  50х50 мм</t>
  </si>
  <si>
    <t>410-5P-M</t>
  </si>
  <si>
    <t>Двобічна редукція легка 100х50 мм</t>
  </si>
  <si>
    <t>405-5P-R</t>
  </si>
  <si>
    <t>Правобічна редукція легка  50х50 мм</t>
  </si>
  <si>
    <t>410-5P-R</t>
  </si>
  <si>
    <t>Правобічна редукція легка 100х50 мм</t>
  </si>
  <si>
    <t>901-5A</t>
  </si>
  <si>
    <t>Шарнірний з'єднувач 50 мм</t>
  </si>
  <si>
    <t>AG10-5A</t>
  </si>
  <si>
    <t>Т-відвід вертикальний з розворотом 100х50</t>
  </si>
  <si>
    <t>AG16-5A</t>
  </si>
  <si>
    <t>Т-відвід вертикальний з розворотом 160х50</t>
  </si>
  <si>
    <t>AG30-5A</t>
  </si>
  <si>
    <t>Т-відвід вертикальний з розворотом 300х50</t>
  </si>
  <si>
    <t>AG40-5A</t>
  </si>
  <si>
    <t>Т-відвід вертикальний з розворотом 400х50</t>
  </si>
  <si>
    <t>AGY16-5A</t>
  </si>
  <si>
    <t>Т-відвід вертикальний 160х50</t>
  </si>
  <si>
    <t>AGY20-5A</t>
  </si>
  <si>
    <t>Т-відвід вертикальний 200х50</t>
  </si>
  <si>
    <t>AGY30-5A</t>
  </si>
  <si>
    <t>Т-відвід вертикальний 300х50</t>
  </si>
  <si>
    <t>AGY40-5A</t>
  </si>
  <si>
    <t>Т-відвід вертикальний 400х50</t>
  </si>
  <si>
    <t>505-605-5A</t>
  </si>
  <si>
    <t>Арка універсальна 90 град ( з регулюванням ) A:50, H:50</t>
  </si>
  <si>
    <t>516-616-5A</t>
  </si>
  <si>
    <t>Арка універсальна 90 град ( з регулюванням ) A:160, H:50</t>
  </si>
  <si>
    <t>520-620-5A</t>
  </si>
  <si>
    <t>Арка універсальна 90 град ( з регулюванням ) A:200, H:50</t>
  </si>
  <si>
    <t>540-640-5A</t>
  </si>
  <si>
    <t>Арка універсальна 90 град ( з регулюванням ) A:400, H:50</t>
  </si>
  <si>
    <t>11. Аксесуари до лотку Н 80 мм</t>
  </si>
  <si>
    <t>AKS-80-10</t>
  </si>
  <si>
    <t>Заглушка лотка 100х80мм</t>
  </si>
  <si>
    <t>AKS-80-20</t>
  </si>
  <si>
    <t>Заглушка лотка 200х80мм</t>
  </si>
  <si>
    <t>110-8</t>
  </si>
  <si>
    <t>Кут горизонтальний 90 град  100х80 мм</t>
  </si>
  <si>
    <t>116-8</t>
  </si>
  <si>
    <t>Кут горизонтальний 90 град  160х80 мм</t>
  </si>
  <si>
    <t>120-8</t>
  </si>
  <si>
    <t>Кут горизонтальний 90 град  200х80 мм</t>
  </si>
  <si>
    <t>130-8</t>
  </si>
  <si>
    <t>Кут горизонтальний 90 град  300х80 мм</t>
  </si>
  <si>
    <t>140-8</t>
  </si>
  <si>
    <t>Кут горизонтальний 90 град  400х80 мм</t>
  </si>
  <si>
    <t>216-8</t>
  </si>
  <si>
    <t>Т-відвід горизонтальний  160х80 мм</t>
  </si>
  <si>
    <t>220-8</t>
  </si>
  <si>
    <t>Т-відвід горизонтальний  200х80 мм</t>
  </si>
  <si>
    <t>230-8</t>
  </si>
  <si>
    <t>Т-відвід горизонтальний  300х80 мм</t>
  </si>
  <si>
    <t>210-8P</t>
  </si>
  <si>
    <t>Відгалужувач горизонтальний 100х80</t>
  </si>
  <si>
    <t>216-8P</t>
  </si>
  <si>
    <t>Відгалужувач горизонтальний 160х80</t>
  </si>
  <si>
    <t>220-8P</t>
  </si>
  <si>
    <t>Відгалужувач горизонтальний 200х80</t>
  </si>
  <si>
    <t>230-8P</t>
  </si>
  <si>
    <t>Відгалужувач горизонтальний 300х80</t>
  </si>
  <si>
    <t>310-8</t>
  </si>
  <si>
    <t>Хрестовина 100х80 мм</t>
  </si>
  <si>
    <t>316-8</t>
  </si>
  <si>
    <t>Хрестовина 160х80 мм</t>
  </si>
  <si>
    <t>320-8</t>
  </si>
  <si>
    <t>Хрестовина 200х80 мм</t>
  </si>
  <si>
    <t>330-8</t>
  </si>
  <si>
    <t>Хрестовина 300х80 мм</t>
  </si>
  <si>
    <t>405-8P-L</t>
  </si>
  <si>
    <t>Лівобічна редукція легка  50х80 мм</t>
  </si>
  <si>
    <t>410-8P-L</t>
  </si>
  <si>
    <t>Лівобічна редукція легка 100х80 мм</t>
  </si>
  <si>
    <t>405-8P-M</t>
  </si>
  <si>
    <t>Двобічна редукція легка  50х80 мм</t>
  </si>
  <si>
    <t>410-8P-M</t>
  </si>
  <si>
    <t>Двобічна редукція легка 100х80 мм</t>
  </si>
  <si>
    <t>405-8P-R</t>
  </si>
  <si>
    <t>Правобічна редукція легка  50х80 мм</t>
  </si>
  <si>
    <t>410-8P-R</t>
  </si>
  <si>
    <t>Правобічна редукція легка 100х80 мм</t>
  </si>
  <si>
    <t>901-8A</t>
  </si>
  <si>
    <t>Шарнірний з'єднувач 160х80 мм</t>
  </si>
  <si>
    <t>AG 10-8A</t>
  </si>
  <si>
    <t>Т-відвід вертикальний з розворотом 100х80 мм</t>
  </si>
  <si>
    <t>AG 16-8A</t>
  </si>
  <si>
    <t>Т-відвід вертикальний з розворотом 160х80 мм</t>
  </si>
  <si>
    <t>AG 20-8A</t>
  </si>
  <si>
    <t>Т-відвід вертикальний з розворотом 200х80 мм</t>
  </si>
  <si>
    <t>AG 30-8A</t>
  </si>
  <si>
    <t>Т-відвід вертикальний з розворотом 300х80 мм</t>
  </si>
  <si>
    <t>AGY 10-8A</t>
  </si>
  <si>
    <t>Т-відвід вертикальний 100х80 мм</t>
  </si>
  <si>
    <t>AGY 16-8A</t>
  </si>
  <si>
    <t>Т-відвід вертикальний 160х80 мм</t>
  </si>
  <si>
    <t>AGY 20-8A</t>
  </si>
  <si>
    <t>Т-відвід вертикальний 200х80 мм</t>
  </si>
  <si>
    <t>AGY 30-8A</t>
  </si>
  <si>
    <t>Т-відвід вертикальний 300х80 мм</t>
  </si>
  <si>
    <t>510-610-8A</t>
  </si>
  <si>
    <t>Арка універсальна 90 град ( з регулюванням ) A:100, H:80</t>
  </si>
  <si>
    <t>516-616-8A</t>
  </si>
  <si>
    <t>Арка універсальна 90 град ( з регулюванням ) A:160, H:80</t>
  </si>
  <si>
    <t>520-620-8A</t>
  </si>
  <si>
    <t>Арка універсальна 90 град ( з регулюванням ) A:200, H:80</t>
  </si>
  <si>
    <t>530-630-8A</t>
  </si>
  <si>
    <t>Арка універсальна 90 град ( з регулюванням ) A:300, H:80</t>
  </si>
  <si>
    <t>540-640-8A</t>
  </si>
  <si>
    <t>Арка універсальна 90 град ( з регулюванням ) A:400, H:80</t>
  </si>
  <si>
    <t>12. Аксесуари до лотку Н 100 мм</t>
  </si>
  <si>
    <t>AKS-100-30</t>
  </si>
  <si>
    <t>Заглушка лотка 300х100 мм</t>
  </si>
  <si>
    <t>120-10</t>
  </si>
  <si>
    <t>Кут горизонтальний 90 град 200х100 мм</t>
  </si>
  <si>
    <t>130-10</t>
  </si>
  <si>
    <t>Кут горизонтальний 90 град 300х100 мм</t>
  </si>
  <si>
    <t>210-10</t>
  </si>
  <si>
    <t>Т-відвід горизонтальний 100х100 мм</t>
  </si>
  <si>
    <t>230-10</t>
  </si>
  <si>
    <t>Т-відвід горизонтальний 300х100 мм</t>
  </si>
  <si>
    <t>240-10</t>
  </si>
  <si>
    <t>Т-відвід горизонтальний 400х100 мм</t>
  </si>
  <si>
    <t>220-10P</t>
  </si>
  <si>
    <t>Відгалужувач горизонтальний 200х100</t>
  </si>
  <si>
    <t>230-10P</t>
  </si>
  <si>
    <t>Відгалужувач горизонтальний 300х100</t>
  </si>
  <si>
    <t>240-10P</t>
  </si>
  <si>
    <t>Відгалужувач горизонтальний 400х100</t>
  </si>
  <si>
    <t>310-10</t>
  </si>
  <si>
    <t>Хрестовина 100х100 мм</t>
  </si>
  <si>
    <t>320-10</t>
  </si>
  <si>
    <t>Хрестовина 200х100 мм</t>
  </si>
  <si>
    <t>330-10</t>
  </si>
  <si>
    <t>Хрестовина 300х100 мм</t>
  </si>
  <si>
    <t>340-10</t>
  </si>
  <si>
    <t>Хрестовина 400х100 мм</t>
  </si>
  <si>
    <t>410-10P-L</t>
  </si>
  <si>
    <t>Лівобічна редукція легка 100х100 мм</t>
  </si>
  <si>
    <t>410-10P-M</t>
  </si>
  <si>
    <t>Двобічна редукція легка 100х100 мм</t>
  </si>
  <si>
    <t>410-10P-R</t>
  </si>
  <si>
    <t>Правобічна редукція легка 100х100 мм</t>
  </si>
  <si>
    <t>410-10AP-R</t>
  </si>
  <si>
    <t>Правобічна редукція стандартна 100х100 мм</t>
  </si>
  <si>
    <t>901-10A</t>
  </si>
  <si>
    <t>Шарнірний з'єднувач 100 мм</t>
  </si>
  <si>
    <t>901-10A2</t>
  </si>
  <si>
    <t>Горизонтальний кутовий з'єднувач 140х100 мм</t>
  </si>
  <si>
    <t>AG20-10A</t>
  </si>
  <si>
    <t>Т-відвід вертикальний з розворотом 200х100 мм</t>
  </si>
  <si>
    <t>AG30-10A</t>
  </si>
  <si>
    <t>Т-відвід вертикальний з розворотом 300х100 мм</t>
  </si>
  <si>
    <t>AG40-10A</t>
  </si>
  <si>
    <t>Т-відвід вертикальний з розворотом 400х100 мм</t>
  </si>
  <si>
    <t>AGY10-10A</t>
  </si>
  <si>
    <t>Т-відвід вертикальний 100х100 мм</t>
  </si>
  <si>
    <t>AGY30-10A</t>
  </si>
  <si>
    <t>Т-відвід вертикальний 300х100 мм</t>
  </si>
  <si>
    <t>AGY40-10A</t>
  </si>
  <si>
    <t>Т-відвід вертикальний 400х100 мм</t>
  </si>
  <si>
    <t>510-610-10A</t>
  </si>
  <si>
    <t>Арка універсальна 90 град ( з регулюванням ) A:100, H:100</t>
  </si>
  <si>
    <t>520-620-10A</t>
  </si>
  <si>
    <t>Арка універсальна 90 град ( з регулюванням ) A:200, H:100</t>
  </si>
  <si>
    <t>530-630-10A</t>
  </si>
  <si>
    <t>Арка універсальна 90 град ( з регулюванням ) A:300, H:100</t>
  </si>
  <si>
    <t>540-640-10A</t>
  </si>
  <si>
    <t>Арка універсальна 90 град ( з регулюванням ) A:400, H:100</t>
  </si>
  <si>
    <t>13. Кришки та фіксатори</t>
  </si>
  <si>
    <t>A40-K-10</t>
  </si>
  <si>
    <t>Кришка лотка 400 мм, 3 м, товщ. 1,0 мм.</t>
  </si>
  <si>
    <t>105-K</t>
  </si>
  <si>
    <t>Кришка повороту горизонтального 90 град  50 мм</t>
  </si>
  <si>
    <t>110-K</t>
  </si>
  <si>
    <t>Кришка повороту горизонтального 90 град 100 мм</t>
  </si>
  <si>
    <t>116-K</t>
  </si>
  <si>
    <t>Кришка повороту горизонтального 90 град 160 мм</t>
  </si>
  <si>
    <t>140-K</t>
  </si>
  <si>
    <t>Кришка повороту горизонтального 90 град 400 мм</t>
  </si>
  <si>
    <t>205-K</t>
  </si>
  <si>
    <t>Кришка Т-відводу горизонтального 90 град  50 мм</t>
  </si>
  <si>
    <t>210-K</t>
  </si>
  <si>
    <t>Кришка Т-відводу горизонтального 90 град 100 мм</t>
  </si>
  <si>
    <t>220-K</t>
  </si>
  <si>
    <t>Кришка Т-відводу горизонтального 90 град 200 мм</t>
  </si>
  <si>
    <t>230-K</t>
  </si>
  <si>
    <t>Кришка Т-відводу горизонтального 90 град 300 мм</t>
  </si>
  <si>
    <t>240-K</t>
  </si>
  <si>
    <t>Кришка Т-відводу горизонтального 90 град 400 мм</t>
  </si>
  <si>
    <t>205-KP</t>
  </si>
  <si>
    <t>Кришка відгалужувача горизонтального 50 мм</t>
  </si>
  <si>
    <t>210-KP</t>
  </si>
  <si>
    <t>Кришка відгалужувача горизонтального 100 мм</t>
  </si>
  <si>
    <t>216-KP</t>
  </si>
  <si>
    <t>Кришка відгалужувача горизонтального 160 мм</t>
  </si>
  <si>
    <t>220-KP</t>
  </si>
  <si>
    <t>Кришка відгалужувача горизонтального 200 мм</t>
  </si>
  <si>
    <t>230-KP</t>
  </si>
  <si>
    <t>Кришка відгалужувача горизонтального 300 мм</t>
  </si>
  <si>
    <t>240-KP</t>
  </si>
  <si>
    <t>Кришка відгалужувача горизонтального 400 мм</t>
  </si>
  <si>
    <t>305-K</t>
  </si>
  <si>
    <t>Кришка хрестовини  50 мм</t>
  </si>
  <si>
    <t>310-K</t>
  </si>
  <si>
    <t>Кришка хрестовини 100 мм</t>
  </si>
  <si>
    <t>316-K</t>
  </si>
  <si>
    <t>Кришка хрестовини 160 мм</t>
  </si>
  <si>
    <t>320-K</t>
  </si>
  <si>
    <t>Кришка хрестовини 200 мм</t>
  </si>
  <si>
    <t>330-K</t>
  </si>
  <si>
    <t>Кришка хрестовини 300 мм</t>
  </si>
  <si>
    <t>340-K</t>
  </si>
  <si>
    <t>Кришка хрестовини 400 мм</t>
  </si>
  <si>
    <t>510-610-K</t>
  </si>
  <si>
    <t>Кришка арки універсальної H:10 A:100</t>
  </si>
  <si>
    <t>516-616-K</t>
  </si>
  <si>
    <t>Кришка арки універсальної H:10 A:160</t>
  </si>
  <si>
    <t>530-630-K</t>
  </si>
  <si>
    <t>Кришка арки універсальної H:10 A:300</t>
  </si>
  <si>
    <t>540-640-K</t>
  </si>
  <si>
    <t>Кришка арки універсальної H:10 A:400</t>
  </si>
  <si>
    <t>AKT-1-4</t>
  </si>
  <si>
    <t>Фіксатор кришки без гвинта  40 мм</t>
  </si>
  <si>
    <t>AKT-1-8</t>
  </si>
  <si>
    <t>Фіксатор кришки без гвинта  80 мм</t>
  </si>
  <si>
    <t>AKT-1-10</t>
  </si>
  <si>
    <t>Фіксатор кришки без гвинта 100 мм</t>
  </si>
  <si>
    <t>4. Консолі та кріплення</t>
  </si>
  <si>
    <t>1. Прямий з'єднувач</t>
  </si>
  <si>
    <t>A1-41-1</t>
  </si>
  <si>
    <t>Прямий з'єднувач  40 мм, довжина 140 мм, товщина 1,2 мм</t>
  </si>
  <si>
    <t>A1-51-1</t>
  </si>
  <si>
    <t>Прямий з'єднувач  50 мм, довжина 140 мм, товщина 1,2 мм</t>
  </si>
  <si>
    <t>A1-101-1</t>
  </si>
  <si>
    <t>Прямий з'єднувач 100 мм, довжина 140 мм, товщина 1,2 мм</t>
  </si>
  <si>
    <t>A1-101</t>
  </si>
  <si>
    <t>Прямий з'єднувач 100 мм, довжина 210 мм, товщина 1,2 мм</t>
  </si>
  <si>
    <t>2. Перегородка</t>
  </si>
  <si>
    <t>ASEP-5-09</t>
  </si>
  <si>
    <t>Перегородка ASEP- 5-09, 50 мм, товщина 0,9 мм, довжина 3,0 м.</t>
  </si>
  <si>
    <t>ASEP-8-12</t>
  </si>
  <si>
    <t>Перегородка ASEP- 5-09, 80 мм, товщина 1,2 мм, довжина 3,0 м.</t>
  </si>
  <si>
    <t>ASEP-10-09</t>
  </si>
  <si>
    <t>Перегородка ASEP-10-09, 100 мм, товщина 0,9 мм, довжина 3,0 м.</t>
  </si>
  <si>
    <t>3. Консолі та підвіси</t>
  </si>
  <si>
    <t>AMD</t>
  </si>
  <si>
    <t>Фіксатор консолі AMD</t>
  </si>
  <si>
    <t>A3-100-1,5</t>
  </si>
  <si>
    <t>U-1  Планка кронштейна 3,0 м,товщ.1,5 мм</t>
  </si>
  <si>
    <t>A3-1-A1</t>
  </si>
  <si>
    <t>U-1 З'єднувач планки кронштейна поздовжній 170 мм</t>
  </si>
  <si>
    <t>A3-1-10D</t>
  </si>
  <si>
    <t>U-1  Станина стельова (зварна)  110 мм подвійна</t>
  </si>
  <si>
    <t>A3-3-40</t>
  </si>
  <si>
    <t>U-1  консоль 430 мм товщ. 2,0 мм</t>
  </si>
  <si>
    <t>A6-10</t>
  </si>
  <si>
    <t>Консоль настінна 100 мм</t>
  </si>
  <si>
    <t>A6-30</t>
  </si>
  <si>
    <t>Консоль настінна 310 мм</t>
  </si>
  <si>
    <t>A6-40</t>
  </si>
  <si>
    <t>Консоль настінна 410 мм</t>
  </si>
  <si>
    <t>A6-20K</t>
  </si>
  <si>
    <t>Консоль настінна  (зварна) 200 мм</t>
  </si>
  <si>
    <t>A6-30K</t>
  </si>
  <si>
    <t>Консоль настінна  (зварна) 300 мм</t>
  </si>
  <si>
    <t>A6-40K</t>
  </si>
  <si>
    <t>Консоль настінна  (зварна) 400 мм</t>
  </si>
  <si>
    <t>AYD-10-4</t>
  </si>
  <si>
    <t>Пластина дистанційна H:40 мм L:100 мм</t>
  </si>
  <si>
    <t>AYD-30-4</t>
  </si>
  <si>
    <t>Пластина дистанційна H:40 мм L:300 мм</t>
  </si>
  <si>
    <t>AYD-40-4</t>
  </si>
  <si>
    <t>Пластина дистанційна H:40 мм L:400 мм</t>
  </si>
  <si>
    <t>A5-1-1</t>
  </si>
  <si>
    <t>Підвіс стельовий 55 мм</t>
  </si>
  <si>
    <t>A5-1-3</t>
  </si>
  <si>
    <t>Підвіс трапецієподібний</t>
  </si>
  <si>
    <t>A5-2-05</t>
  </si>
  <si>
    <t>Тримач лотка A :55 зверху</t>
  </si>
  <si>
    <t>A5-2-10</t>
  </si>
  <si>
    <t>Тримач лотка A:105 зверху</t>
  </si>
  <si>
    <t>A5-2-16</t>
  </si>
  <si>
    <t>Тримач лотка A:165 зверху</t>
  </si>
  <si>
    <t>A5-2-20</t>
  </si>
  <si>
    <t>Тримач лотка A:205 зверху</t>
  </si>
  <si>
    <t>A5-4-10</t>
  </si>
  <si>
    <t>Тримач лотка 140 мм знизу</t>
  </si>
  <si>
    <t>A5-4-16</t>
  </si>
  <si>
    <t>Тримач лотка 210 мм знизу</t>
  </si>
  <si>
    <t>A5-4-20</t>
  </si>
  <si>
    <t>Тримач лотка 245 мм знизу</t>
  </si>
  <si>
    <t>A5-4-30</t>
  </si>
  <si>
    <t>Тримач лотка A5-4-30 350мм</t>
  </si>
  <si>
    <t>A5-4-40</t>
  </si>
  <si>
    <t>Тримач лотка 455 мм знизу</t>
  </si>
  <si>
    <t>A5-4-50</t>
  </si>
  <si>
    <t>Тримач лотка 560 мм знизу</t>
  </si>
  <si>
    <t>A5-4-60</t>
  </si>
  <si>
    <t>Тримач лотка 665 мм знизу</t>
  </si>
  <si>
    <t>A5-6-5</t>
  </si>
  <si>
    <t>Тримач лотка L: 50 кутовий</t>
  </si>
  <si>
    <t>A5-6-10</t>
  </si>
  <si>
    <t>Тримач лотка L:100 кутовий</t>
  </si>
  <si>
    <t>A5-7-05-Y110</t>
  </si>
  <si>
    <t>Кронштейн  настінно-стельовий Н:100,  65 мм</t>
  </si>
  <si>
    <t>A5-7-10-Y110</t>
  </si>
  <si>
    <t>Кронштейн  настінно-стельовий Н:100, 115 мм</t>
  </si>
  <si>
    <t>A5-7-16-Y110</t>
  </si>
  <si>
    <t>Кронштейн  настінно-стельовий Н:100, 175 мм</t>
  </si>
  <si>
    <t>A5-7-20-Y110</t>
  </si>
  <si>
    <t>Кронштейн  настінно-стельовий Н:100, 215 мм</t>
  </si>
  <si>
    <t>4. Метизи</t>
  </si>
  <si>
    <t>m0070001</t>
  </si>
  <si>
    <t>Різьбовий стержень з метричною різьбою М8, довжина 1м e.metiz.brad.5z.0.08</t>
  </si>
  <si>
    <t>m1030002</t>
  </si>
  <si>
    <t>Гайка чиста з різьбою М8 e.metiz.nut.1.60.2.08</t>
  </si>
  <si>
    <t>m0030008</t>
  </si>
  <si>
    <t>Гайка подовжувач з різьбою М8, довжина 24 мм  e.metiz.nut.6D.08.24</t>
  </si>
  <si>
    <t>m1050011</t>
  </si>
  <si>
    <t>Шайба кузовна під різьбу М8 e.metiz.washer.1.7K.2.08</t>
  </si>
  <si>
    <t>m1050003</t>
  </si>
  <si>
    <t>Шайба плоска під різьбу М8 e.metiz.washer.1.7О.2.08</t>
  </si>
  <si>
    <t>m1050006</t>
  </si>
  <si>
    <t>Шайба плоска під різьбу М10 .washer.1.7О.2.10</t>
  </si>
  <si>
    <t>m1020021</t>
  </si>
  <si>
    <t>Болт M8x15 з квадратним підголовником ARDIC, різьба М8,довжина 15 мм</t>
  </si>
  <si>
    <t>5. Підпідлогові кабель-канали</t>
  </si>
  <si>
    <t>ADK-050012</t>
  </si>
  <si>
    <t>Адаптер інформаційної розетки RJ-45 UTP KAT 5e зі шторкою 1 модуль 45X22,5</t>
  </si>
  <si>
    <t>ADK-050013</t>
  </si>
  <si>
    <t>Адаптер інформаційної розетки RJ-45 UTP KAT 5e зі шторкою 2 модуля 45X45</t>
  </si>
  <si>
    <t>ADK-050032</t>
  </si>
  <si>
    <t>Конектор комп'ютерний (1X8) CAT6</t>
  </si>
  <si>
    <t>ADK-050009</t>
  </si>
  <si>
    <t>Конектор телефонний (1X4)</t>
  </si>
  <si>
    <t>ADK-M</t>
  </si>
  <si>
    <t>Коробка ADK-M 373х373х77 мм під люк для підпідлогового кабель-каналу H 30-40 мм товщ 2 мм</t>
  </si>
  <si>
    <t>ADK-P</t>
  </si>
  <si>
    <t>Люк ADK-P 18 модулів розподільчий на типу 45х22.5 мм. Кришка зі стальною пластиною 2 мм</t>
  </si>
  <si>
    <t>ADK-300001</t>
  </si>
  <si>
    <t>Розетка силова с з/к нім. станд. зі шторками, 2 модуля 45X45 біла</t>
  </si>
  <si>
    <t>6. Лоток HDG</t>
  </si>
  <si>
    <t>A10-08A-07 HDG</t>
  </si>
  <si>
    <t>Перфорований лоток 100х80 довжина 3 м HDG</t>
  </si>
  <si>
    <t>A30-08A-08 HDG</t>
  </si>
  <si>
    <t>Перфорований лоток 300х80 довжина 3 м HDG</t>
  </si>
  <si>
    <t>9.Лотки металеві Білмакс</t>
  </si>
  <si>
    <t>2.1 Лоток перфорований Н 50 мм</t>
  </si>
  <si>
    <t>Б00013846</t>
  </si>
  <si>
    <t>Лоток перфорований 100х50 L=2,0m "Light"</t>
  </si>
  <si>
    <t>2.2  Лоток перфорований Н 80 мм</t>
  </si>
  <si>
    <t>Б00013890</t>
  </si>
  <si>
    <t>Лоток перфорований 300х80 L=2m</t>
  </si>
  <si>
    <t>2.3  Аксесуари до лотку Н 50 мм</t>
  </si>
  <si>
    <t>Б00013919</t>
  </si>
  <si>
    <t>Кут горизонтальний 90° 100х50</t>
  </si>
  <si>
    <t>Б00014024</t>
  </si>
  <si>
    <t>Підйом 90° 100х50</t>
  </si>
  <si>
    <t>2.4  Аксесуари до лотку Н 80 мм</t>
  </si>
  <si>
    <t>Б00014034</t>
  </si>
  <si>
    <t>Підйом 90° 300х80</t>
  </si>
  <si>
    <t>2.5  Кришки</t>
  </si>
  <si>
    <t>Б00013957</t>
  </si>
  <si>
    <t>Кришка кута горизонтального 90° 100</t>
  </si>
  <si>
    <t>Б00013903</t>
  </si>
  <si>
    <t>Кришка лотка 100 L=2,0m (0,5 мм)</t>
  </si>
  <si>
    <t>Б00013910</t>
  </si>
  <si>
    <t>Кришка лотка 300 L=2,0m (0,7 мм)</t>
  </si>
  <si>
    <t>Б00014045</t>
  </si>
  <si>
    <t>Кришка підйому 90° 100</t>
  </si>
  <si>
    <t>Б00014048</t>
  </si>
  <si>
    <t>Кришка підйому 90° 300</t>
  </si>
  <si>
    <t>10.Лотки металеві СКаТ</t>
  </si>
  <si>
    <t>1. Лоток листовий</t>
  </si>
  <si>
    <t>1.1. Лоток листовий Light</t>
  </si>
  <si>
    <t>1.1.1. Лоток перфорований Light H=50 мм</t>
  </si>
  <si>
    <t>2113210</t>
  </si>
  <si>
    <t>Лоток перфорований L 100х50 3м</t>
  </si>
  <si>
    <t>2114210</t>
  </si>
  <si>
    <t>Лоток перфорований L 150х50 3м</t>
  </si>
  <si>
    <t>2115210</t>
  </si>
  <si>
    <t>Лоток перфорований L 200х50 3м</t>
  </si>
  <si>
    <t>2116210</t>
  </si>
  <si>
    <t>Лоток перфорований L 300х50 3м</t>
  </si>
  <si>
    <t>2111210</t>
  </si>
  <si>
    <t>Лоток перфорований L 50х50 3м</t>
  </si>
  <si>
    <t>1.1.2. Лоток неперфорований Light H=50 мм</t>
  </si>
  <si>
    <t>2123210</t>
  </si>
  <si>
    <t>Лоток неперфорований L 100х50</t>
  </si>
  <si>
    <t>2124210</t>
  </si>
  <si>
    <t>Лоток неперфорований L 150х50</t>
  </si>
  <si>
    <t>2125210</t>
  </si>
  <si>
    <t>Лоток неперфорований L 200х50</t>
  </si>
  <si>
    <t>2126210</t>
  </si>
  <si>
    <t>Лоток неперфорований L 300х50</t>
  </si>
  <si>
    <t>2121210</t>
  </si>
  <si>
    <t>Лоток неперфорований L 50х50</t>
  </si>
  <si>
    <t>1.1.3. Кришка лотка Light</t>
  </si>
  <si>
    <t>2123011</t>
  </si>
  <si>
    <t>Кришка лотка  L 100 3м</t>
  </si>
  <si>
    <t>2124011</t>
  </si>
  <si>
    <t>Кришка лотка  L 150 3м</t>
  </si>
  <si>
    <t>2125011</t>
  </si>
  <si>
    <t>Кришка лотка  L 200 3м</t>
  </si>
  <si>
    <t>2126011</t>
  </si>
  <si>
    <t>Кришка лотка  L 300 3м</t>
  </si>
  <si>
    <t>2121011</t>
  </si>
  <si>
    <t>Кришка лотка  L 50 3м</t>
  </si>
  <si>
    <t>2122011</t>
  </si>
  <si>
    <t>Кришка лотка  L 80 3м</t>
  </si>
  <si>
    <t>1.2. Лоток листовий Standard</t>
  </si>
  <si>
    <t>1.2.1. Лоток перфорований Standard Н=35 мм</t>
  </si>
  <si>
    <t>2113120</t>
  </si>
  <si>
    <t>Лоток перфорований S 100х35 3м</t>
  </si>
  <si>
    <t>2114120</t>
  </si>
  <si>
    <t>Лоток перфорований S 150х35 3м</t>
  </si>
  <si>
    <t>2115120</t>
  </si>
  <si>
    <t>Лоток перфорований S 200х35 3м</t>
  </si>
  <si>
    <t>2116120</t>
  </si>
  <si>
    <t>Лоток перфорований S 300х35 3м</t>
  </si>
  <si>
    <t>2111110</t>
  </si>
  <si>
    <t>Лоток перфорований S 50х35 3м</t>
  </si>
  <si>
    <t>2112110</t>
  </si>
  <si>
    <t>Лоток перфорований S 80х35 3м</t>
  </si>
  <si>
    <t>1.2.2. Лоток перфорований Standard Н=50 мм</t>
  </si>
  <si>
    <t>2113220</t>
  </si>
  <si>
    <t>Лоток перфорований S 100х50 3м</t>
  </si>
  <si>
    <t>2114220</t>
  </si>
  <si>
    <t>Лоток перфорований S 150х50 3м</t>
  </si>
  <si>
    <t>2115220</t>
  </si>
  <si>
    <t>Лоток перфорований S 200х50 3м</t>
  </si>
  <si>
    <t>2116220</t>
  </si>
  <si>
    <t>Лоток перфорований S 300х50 3м</t>
  </si>
  <si>
    <t>2117240</t>
  </si>
  <si>
    <t>Лоток перфорований S 400х50 3м</t>
  </si>
  <si>
    <t>2118240</t>
  </si>
  <si>
    <t>Лоток перфорований S 500х50 3м</t>
  </si>
  <si>
    <t>2111220</t>
  </si>
  <si>
    <t>Лоток перфорований S 50х50 3м</t>
  </si>
  <si>
    <t>2119240</t>
  </si>
  <si>
    <t>Лоток перфорований S 600х50 3м</t>
  </si>
  <si>
    <t>1.2.3. Лоток перфорований Standard Н=80 мм</t>
  </si>
  <si>
    <t>2113320</t>
  </si>
  <si>
    <t>Лоток перфорований S 100х80 3м</t>
  </si>
  <si>
    <t>2114320</t>
  </si>
  <si>
    <t>Лоток перфорований S 150х80 3м</t>
  </si>
  <si>
    <t>2115320</t>
  </si>
  <si>
    <t>Лоток перфорований S 200х80 3м</t>
  </si>
  <si>
    <t>2116320</t>
  </si>
  <si>
    <t>Лоток перфорований S 300х80 3м</t>
  </si>
  <si>
    <t>2117340</t>
  </si>
  <si>
    <t>Лоток перфорований S 400х80 3м</t>
  </si>
  <si>
    <t>2118340</t>
  </si>
  <si>
    <t>Лоток перфорований S 500х80 3м</t>
  </si>
  <si>
    <t>2119340</t>
  </si>
  <si>
    <t>Лоток перфорований S 600х80 3м</t>
  </si>
  <si>
    <t>2112320</t>
  </si>
  <si>
    <t>Лоток перфорований S 80х80 3м</t>
  </si>
  <si>
    <t>1.2.4. Лоток перфорований Standard Н=100 мм</t>
  </si>
  <si>
    <t>2113420</t>
  </si>
  <si>
    <t>Лоток перфорований S 100х100 3м</t>
  </si>
  <si>
    <t>2114420</t>
  </si>
  <si>
    <t>Лоток перфорований S 150х100 3м</t>
  </si>
  <si>
    <t>2115420</t>
  </si>
  <si>
    <t>Лоток перфорований S 200х100 3м</t>
  </si>
  <si>
    <t>2116420</t>
  </si>
  <si>
    <t>Лоток перфорований S 300х100 3м</t>
  </si>
  <si>
    <t>2117440</t>
  </si>
  <si>
    <t>Лоток перфорований S 400х100 3м</t>
  </si>
  <si>
    <t>2118440</t>
  </si>
  <si>
    <t>Лоток перфорований S 500х100 3м</t>
  </si>
  <si>
    <t>2119440</t>
  </si>
  <si>
    <t>Лоток перфорований S 600х100 3м</t>
  </si>
  <si>
    <t>1.2.5. Лоток неперфорований Standard Н=35 мм</t>
  </si>
  <si>
    <t>2123120</t>
  </si>
  <si>
    <t>Лоток неперфорований S 100х35</t>
  </si>
  <si>
    <t>2124120</t>
  </si>
  <si>
    <t>Лоток неперфорований S 150х35</t>
  </si>
  <si>
    <t>2125120</t>
  </si>
  <si>
    <t>Лоток неперфорований S 200х35</t>
  </si>
  <si>
    <t>2126120</t>
  </si>
  <si>
    <t>Лоток неперфорований S 300х35</t>
  </si>
  <si>
    <t>2121110</t>
  </si>
  <si>
    <t>Лоток неперфорований S 50х35</t>
  </si>
  <si>
    <t>2122110</t>
  </si>
  <si>
    <t>Лоток неперфорований S 80х35</t>
  </si>
  <si>
    <t>1.2.6. Лоток неперфорований Standard Н=50 мм</t>
  </si>
  <si>
    <t>2123220</t>
  </si>
  <si>
    <t>Лоток неперфорований S 100х50</t>
  </si>
  <si>
    <t>2124220</t>
  </si>
  <si>
    <t>Лоток неперфорований S 150х50</t>
  </si>
  <si>
    <t>2125220</t>
  </si>
  <si>
    <t>Лоток неперфорований S 200х50</t>
  </si>
  <si>
    <t>2126220</t>
  </si>
  <si>
    <t>Лоток неперфорований S 300х50</t>
  </si>
  <si>
    <t>2127240</t>
  </si>
  <si>
    <t>Лоток неперфорований S 400х50</t>
  </si>
  <si>
    <t>2128240</t>
  </si>
  <si>
    <t>Лоток неперфорований S 500х50</t>
  </si>
  <si>
    <t>2121220</t>
  </si>
  <si>
    <t>Лоток неперфорований S 50х50</t>
  </si>
  <si>
    <t>2129240</t>
  </si>
  <si>
    <t>Лоток неперфорований S 600х50</t>
  </si>
  <si>
    <t>1.2.7. Лоток неперфорований Standard Н=80 мм</t>
  </si>
  <si>
    <t>2123320</t>
  </si>
  <si>
    <t>Лоток неперфорований S 100х80</t>
  </si>
  <si>
    <t>2124320</t>
  </si>
  <si>
    <t>Лоток неперфорований S 150х80</t>
  </si>
  <si>
    <t>2125320</t>
  </si>
  <si>
    <t>Лоток неперфорований S 200х80</t>
  </si>
  <si>
    <t>2126320</t>
  </si>
  <si>
    <t>Лоток неперфорований S 300х80</t>
  </si>
  <si>
    <t>2127340</t>
  </si>
  <si>
    <t>Лоток неперфорований S 400х80</t>
  </si>
  <si>
    <t>2128340</t>
  </si>
  <si>
    <t>Лоток неперфорований S 500х80</t>
  </si>
  <si>
    <t>2129340</t>
  </si>
  <si>
    <t>Лоток неперфорований S 600х80</t>
  </si>
  <si>
    <t>2122320</t>
  </si>
  <si>
    <t>Лоток неперфорований S 80х80</t>
  </si>
  <si>
    <t>1.2.8. Лоток неперфорований Standard Н=100 мм</t>
  </si>
  <si>
    <t>2123420</t>
  </si>
  <si>
    <t>Лоток неперфорований S 100х100</t>
  </si>
  <si>
    <t>2124420</t>
  </si>
  <si>
    <t>Лоток неперфорований S 150х100</t>
  </si>
  <si>
    <t>2125420</t>
  </si>
  <si>
    <t>Лоток неперфорований S 200х100</t>
  </si>
  <si>
    <t>2126420</t>
  </si>
  <si>
    <t>Лоток неперфорований S 300х100</t>
  </si>
  <si>
    <t>2127440</t>
  </si>
  <si>
    <t>Лоток неперфорований S 400х100</t>
  </si>
  <si>
    <t>2128440</t>
  </si>
  <si>
    <t>Лоток неперфорований S 500х100</t>
  </si>
  <si>
    <t>2129440</t>
  </si>
  <si>
    <t>Лоток неперфорований S 600х100</t>
  </si>
  <si>
    <t>1.2.9. Кришка лотка Standard</t>
  </si>
  <si>
    <t>2123021</t>
  </si>
  <si>
    <t>Кришка лотка  S 100 3м</t>
  </si>
  <si>
    <t>2124021</t>
  </si>
  <si>
    <t>Кришка лотка  S 150 3м</t>
  </si>
  <si>
    <t>2125031</t>
  </si>
  <si>
    <t>Кришка лотка  S 200 3м</t>
  </si>
  <si>
    <t>2126031</t>
  </si>
  <si>
    <t>Кришка лотка  S 300 3м</t>
  </si>
  <si>
    <t>2127021</t>
  </si>
  <si>
    <t>Кришка лотка  S 400 3м</t>
  </si>
  <si>
    <t>2121021</t>
  </si>
  <si>
    <t>Кришка лотка  S 50 3м</t>
  </si>
  <si>
    <t>2128041</t>
  </si>
  <si>
    <t>Кришка лотка  S 500 3м</t>
  </si>
  <si>
    <t>2129041</t>
  </si>
  <si>
    <t>Кришка лотка  S 600 3м</t>
  </si>
  <si>
    <t>2122021</t>
  </si>
  <si>
    <t>Кришка лотка  S 80 3м</t>
  </si>
  <si>
    <t>1.3. Аксесуари для кабельного лотка</t>
  </si>
  <si>
    <t>1.3. 1. Поворот 90°</t>
  </si>
  <si>
    <t>1.3.1.1. Поворот 90° Н=35 мм</t>
  </si>
  <si>
    <t>2213130</t>
  </si>
  <si>
    <t>Поворот 90° 100х35</t>
  </si>
  <si>
    <t>2214130</t>
  </si>
  <si>
    <t>Поворот 90° 150х35</t>
  </si>
  <si>
    <t>2215130</t>
  </si>
  <si>
    <t>Поворот 90° 200х35</t>
  </si>
  <si>
    <t>2216130</t>
  </si>
  <si>
    <t>Поворот 90° 300х35</t>
  </si>
  <si>
    <t>2211130</t>
  </si>
  <si>
    <t>Поворот 90° 50х35</t>
  </si>
  <si>
    <t>2212130</t>
  </si>
  <si>
    <t>Поворот 90° 80х35</t>
  </si>
  <si>
    <t>1.3.1.2. Поворот 90° Н=50 мм</t>
  </si>
  <si>
    <t>2213230</t>
  </si>
  <si>
    <t>Поворот 90° 100х50</t>
  </si>
  <si>
    <t>2214230</t>
  </si>
  <si>
    <t>Поворот 90° 150х50</t>
  </si>
  <si>
    <t>2215230</t>
  </si>
  <si>
    <t>Поворот 90° 200х50</t>
  </si>
  <si>
    <t>2216230</t>
  </si>
  <si>
    <t>Поворот 90° 300х50</t>
  </si>
  <si>
    <t>2217230</t>
  </si>
  <si>
    <t>Поворот 90° 400х50</t>
  </si>
  <si>
    <t>2218230</t>
  </si>
  <si>
    <t>Поворот 90° 500х50</t>
  </si>
  <si>
    <t>2211230</t>
  </si>
  <si>
    <t>Поворот 90° 50х50</t>
  </si>
  <si>
    <t>2219230</t>
  </si>
  <si>
    <t>Поворот 90° 600х50</t>
  </si>
  <si>
    <t>1.3.1.3. Поворот 90° Н=80 мм</t>
  </si>
  <si>
    <t>2213330</t>
  </si>
  <si>
    <t>Поворот 90° 100х80</t>
  </si>
  <si>
    <t>2214330</t>
  </si>
  <si>
    <t>Поворот 90° 150х80</t>
  </si>
  <si>
    <t>2215330</t>
  </si>
  <si>
    <t>Поворот 90° 200х80</t>
  </si>
  <si>
    <t>2216330</t>
  </si>
  <si>
    <t>Поворот 90° 300х80</t>
  </si>
  <si>
    <t>2217330</t>
  </si>
  <si>
    <t>Поворот 90° 400х80</t>
  </si>
  <si>
    <t>2218330</t>
  </si>
  <si>
    <t>Поворот 90° 500х80</t>
  </si>
  <si>
    <t>2219330</t>
  </si>
  <si>
    <t>Поворот 90° 600х80</t>
  </si>
  <si>
    <t>2212330</t>
  </si>
  <si>
    <t>Поворот 90° 80х80</t>
  </si>
  <si>
    <t>1.3.1.4. Поворот 90° Н=100 мм</t>
  </si>
  <si>
    <t>2213430</t>
  </si>
  <si>
    <t>Поворот 90° 100х100</t>
  </si>
  <si>
    <t>2214430</t>
  </si>
  <si>
    <t>Поворот 90° 150х100</t>
  </si>
  <si>
    <t>2215430</t>
  </si>
  <si>
    <t>Поворот 90° 200х100</t>
  </si>
  <si>
    <t>2216430</t>
  </si>
  <si>
    <t>Поворот 90° 300х100</t>
  </si>
  <si>
    <t>2217430</t>
  </si>
  <si>
    <t>Поворот 90° 400х100</t>
  </si>
  <si>
    <t>2218430</t>
  </si>
  <si>
    <t>Поворот 90° 500х100</t>
  </si>
  <si>
    <t>2219430</t>
  </si>
  <si>
    <t>Поворот 90° 600х100</t>
  </si>
  <si>
    <t>1.3.1.5. Кришка повороту 90°</t>
  </si>
  <si>
    <t>2213031</t>
  </si>
  <si>
    <t>Кришка повороту 90° 100</t>
  </si>
  <si>
    <t>2214031</t>
  </si>
  <si>
    <t>Кришка повороту 90° 150</t>
  </si>
  <si>
    <t>2215031</t>
  </si>
  <si>
    <t>Кришка повороту 90° 200</t>
  </si>
  <si>
    <t>2216031</t>
  </si>
  <si>
    <t>Кришка повороту 90° 300</t>
  </si>
  <si>
    <t>2217031</t>
  </si>
  <si>
    <t>Кришка повороту 90° 400</t>
  </si>
  <si>
    <t>2211031</t>
  </si>
  <si>
    <t>Кришка повороту 90° 50</t>
  </si>
  <si>
    <t>2218031</t>
  </si>
  <si>
    <t>Кришка повороту 90° 500</t>
  </si>
  <si>
    <t>2219031</t>
  </si>
  <si>
    <t>Кришка повороту 90° 600</t>
  </si>
  <si>
    <t>2212031</t>
  </si>
  <si>
    <t>Кришка повороту 90° 80</t>
  </si>
  <si>
    <t>1.3. 2. Поворот 45°</t>
  </si>
  <si>
    <t>1.3.2.1. Поворот 45° Н=35 мм</t>
  </si>
  <si>
    <t>2223130</t>
  </si>
  <si>
    <t>Поворот 45° 100х35</t>
  </si>
  <si>
    <t>2224130</t>
  </si>
  <si>
    <t>Поворот 45° 150х35</t>
  </si>
  <si>
    <t>2225130</t>
  </si>
  <si>
    <t>Поворот 45° 200х35</t>
  </si>
  <si>
    <t>2226130</t>
  </si>
  <si>
    <t>Поворот 45° 300х35</t>
  </si>
  <si>
    <t>2221130</t>
  </si>
  <si>
    <t>Поворот 45° 50х35</t>
  </si>
  <si>
    <t>2222130</t>
  </si>
  <si>
    <t>Поворот 45° 80х35</t>
  </si>
  <si>
    <t>1.3.2.2. Поворот 45° Н=50 мм</t>
  </si>
  <si>
    <t>2223230</t>
  </si>
  <si>
    <t>Поворот 45° 100х50</t>
  </si>
  <si>
    <t>2224230</t>
  </si>
  <si>
    <t>Поворот 45° 150х50</t>
  </si>
  <si>
    <t>2225230</t>
  </si>
  <si>
    <t>Поворот 45° 200х50</t>
  </si>
  <si>
    <t>2226230</t>
  </si>
  <si>
    <t>Поворот 45° 300х50</t>
  </si>
  <si>
    <t>2227230</t>
  </si>
  <si>
    <t>Поворот 45° 400х50</t>
  </si>
  <si>
    <t>2228230</t>
  </si>
  <si>
    <t>Поворот 45° 500х50</t>
  </si>
  <si>
    <t>2221230</t>
  </si>
  <si>
    <t>Поворот 45° 50х50</t>
  </si>
  <si>
    <t>2229230</t>
  </si>
  <si>
    <t>Поворот 45° 600х50</t>
  </si>
  <si>
    <t>1.3.2.3. Поворот 45° Н=80 мм</t>
  </si>
  <si>
    <t>2223330</t>
  </si>
  <si>
    <t>Поворот 45° 100х80</t>
  </si>
  <si>
    <t>2224330</t>
  </si>
  <si>
    <t>Поворот 45° 150х80</t>
  </si>
  <si>
    <t>2225330</t>
  </si>
  <si>
    <t>Поворот 45° 200х80</t>
  </si>
  <si>
    <t>2226330</t>
  </si>
  <si>
    <t>Поворот 45° 300х80</t>
  </si>
  <si>
    <t>2227330</t>
  </si>
  <si>
    <t>Поворот 45° 400х80</t>
  </si>
  <si>
    <t>2228330</t>
  </si>
  <si>
    <t>Поворот 45° 500х80</t>
  </si>
  <si>
    <t>2229330</t>
  </si>
  <si>
    <t>Поворот 45° 600х80</t>
  </si>
  <si>
    <t>2222330</t>
  </si>
  <si>
    <t>Поворот 45° 80х80</t>
  </si>
  <si>
    <t>1.3.2.4. Поворот 45° Н=100 мм</t>
  </si>
  <si>
    <t>2223430</t>
  </si>
  <si>
    <t>Поворот 45° 100х100</t>
  </si>
  <si>
    <t>2224430</t>
  </si>
  <si>
    <t>Поворот 45° 150х100</t>
  </si>
  <si>
    <t>2225430</t>
  </si>
  <si>
    <t>Поворот 45° 200х100</t>
  </si>
  <si>
    <t>2226430</t>
  </si>
  <si>
    <t>Поворот 45° 300х100</t>
  </si>
  <si>
    <t>2227430</t>
  </si>
  <si>
    <t>Поворот 45° 400х100</t>
  </si>
  <si>
    <t>2228430</t>
  </si>
  <si>
    <t>Поворот 45° 500х100</t>
  </si>
  <si>
    <t>2229430</t>
  </si>
  <si>
    <t>Поворот 45° 600х100</t>
  </si>
  <si>
    <t>1.3.2.5. Кришка повороту 45°</t>
  </si>
  <si>
    <t>2223031</t>
  </si>
  <si>
    <t>Кришка повороту 45° 100</t>
  </si>
  <si>
    <t>2224031</t>
  </si>
  <si>
    <t>Кришка повороту 45° 150</t>
  </si>
  <si>
    <t>2225031</t>
  </si>
  <si>
    <t>Кришка повороту 45° 200</t>
  </si>
  <si>
    <t>2226031</t>
  </si>
  <si>
    <t>Кришка повороту 45° 300</t>
  </si>
  <si>
    <t>2227031</t>
  </si>
  <si>
    <t>Кришка повороту 45° 400</t>
  </si>
  <si>
    <t>2221031</t>
  </si>
  <si>
    <t>Кришка повороту 45° 50</t>
  </si>
  <si>
    <t>2228031</t>
  </si>
  <si>
    <t>Кришка повороту 45° 500</t>
  </si>
  <si>
    <t>2229031</t>
  </si>
  <si>
    <t>Кришка повороту 45° 600</t>
  </si>
  <si>
    <t>2222031</t>
  </si>
  <si>
    <t>Кришка повороту 45° 80</t>
  </si>
  <si>
    <t>1.3. 3. Хрестовина</t>
  </si>
  <si>
    <t>1.3.3.1. Хрестовина Н=35 мм</t>
  </si>
  <si>
    <t>2313130</t>
  </si>
  <si>
    <t>Хрестовина 100х35</t>
  </si>
  <si>
    <t>2314130</t>
  </si>
  <si>
    <t>Хрестовина 150х35</t>
  </si>
  <si>
    <t>2315130</t>
  </si>
  <si>
    <t>Хрестовина 200х35</t>
  </si>
  <si>
    <t>2316130</t>
  </si>
  <si>
    <t>Хрестовина 300х35</t>
  </si>
  <si>
    <t>2311130</t>
  </si>
  <si>
    <t>Хрестовина 50х35</t>
  </si>
  <si>
    <t>2312130</t>
  </si>
  <si>
    <t>Хрестовина 80х35</t>
  </si>
  <si>
    <t>1.3.3.2. Хрестовина Н=50 мм</t>
  </si>
  <si>
    <t>2313230</t>
  </si>
  <si>
    <t>2314230</t>
  </si>
  <si>
    <t>Хрестовина 150х50</t>
  </si>
  <si>
    <t>2315230</t>
  </si>
  <si>
    <t>2316230</t>
  </si>
  <si>
    <t>2317230</t>
  </si>
  <si>
    <t>2318230</t>
  </si>
  <si>
    <t>Хрестовина 500х50</t>
  </si>
  <si>
    <t>2311230</t>
  </si>
  <si>
    <t>Хрестовина 50х50</t>
  </si>
  <si>
    <t>2319230</t>
  </si>
  <si>
    <t>Хрестовина 600х50</t>
  </si>
  <si>
    <t>1.3.3.3. Хрестовина Н=80 мм</t>
  </si>
  <si>
    <t>2313330</t>
  </si>
  <si>
    <t>Хрестовина 100х80</t>
  </si>
  <si>
    <t>2314330</t>
  </si>
  <si>
    <t>Хрестовина 150х80</t>
  </si>
  <si>
    <t>2315330</t>
  </si>
  <si>
    <t>Хрестовина 200х80</t>
  </si>
  <si>
    <t>2316330</t>
  </si>
  <si>
    <t>Хрестовина 300х80</t>
  </si>
  <si>
    <t>2317330</t>
  </si>
  <si>
    <t>Хрестовина 400х80</t>
  </si>
  <si>
    <t>2318330</t>
  </si>
  <si>
    <t>Хрестовина 500х80</t>
  </si>
  <si>
    <t>2319330</t>
  </si>
  <si>
    <t>Хрестовина 600х80</t>
  </si>
  <si>
    <t>2312330</t>
  </si>
  <si>
    <t>Хрестовина 80х80</t>
  </si>
  <si>
    <t>1.3.3.4. Хрестовина Н=100 мм</t>
  </si>
  <si>
    <t>2313430</t>
  </si>
  <si>
    <t>Хрестовина 100х100</t>
  </si>
  <si>
    <t>2314430</t>
  </si>
  <si>
    <t>Хрестовина 150х100</t>
  </si>
  <si>
    <t>2315430</t>
  </si>
  <si>
    <t>Хрестовина 200х100</t>
  </si>
  <si>
    <t>2316430</t>
  </si>
  <si>
    <t>Хрестовина 300х100</t>
  </si>
  <si>
    <t>2317430</t>
  </si>
  <si>
    <t>Хрестовина 400х100</t>
  </si>
  <si>
    <t>2318430</t>
  </si>
  <si>
    <t>Хрестовина 500х100</t>
  </si>
  <si>
    <t>2319430</t>
  </si>
  <si>
    <t>Хрестовина 600х100</t>
  </si>
  <si>
    <t>1.3.3.5. Кришка хрестовини</t>
  </si>
  <si>
    <t>2313031</t>
  </si>
  <si>
    <t>Кришка хрестовини 100</t>
  </si>
  <si>
    <t>2314031</t>
  </si>
  <si>
    <t>Кришка хрестовини 150</t>
  </si>
  <si>
    <t>2315031</t>
  </si>
  <si>
    <t>Кришка хрестовини 200</t>
  </si>
  <si>
    <t>2316031</t>
  </si>
  <si>
    <t>Кришка хрестовини 300</t>
  </si>
  <si>
    <t>2317031</t>
  </si>
  <si>
    <t>Кришка хрестовини 400</t>
  </si>
  <si>
    <t>2311031</t>
  </si>
  <si>
    <t>Кришка хрестовини 50</t>
  </si>
  <si>
    <t>2318031</t>
  </si>
  <si>
    <t>Кришка хрестовини 500</t>
  </si>
  <si>
    <t>2319031</t>
  </si>
  <si>
    <t>Кришка хрестовини 600</t>
  </si>
  <si>
    <t>2312031</t>
  </si>
  <si>
    <t>Кришка хрестовини 80</t>
  </si>
  <si>
    <t>1.3. 4. Спуск 90°</t>
  </si>
  <si>
    <t>1.3.4.1. Спуск 90° Н=35 мм</t>
  </si>
  <si>
    <t>2243130</t>
  </si>
  <si>
    <t>Спуск 90° 100х35</t>
  </si>
  <si>
    <t>2244130</t>
  </si>
  <si>
    <t>Спуск 90° 150х35</t>
  </si>
  <si>
    <t>2245130</t>
  </si>
  <si>
    <t>Спуск 90° 200х35</t>
  </si>
  <si>
    <t>2246130</t>
  </si>
  <si>
    <t>Спуск 90° 300х35</t>
  </si>
  <si>
    <t>2241130</t>
  </si>
  <si>
    <t>Спуск 90° 50х35</t>
  </si>
  <si>
    <t>2242130</t>
  </si>
  <si>
    <t>Спуск 90° 80х35</t>
  </si>
  <si>
    <t>1.3.4.2. Спуск 90° Н=50 мм</t>
  </si>
  <si>
    <t>2243230</t>
  </si>
  <si>
    <t>Спуск 90° 100х50</t>
  </si>
  <si>
    <t>2244230</t>
  </si>
  <si>
    <t>Спуск 90° 150х50</t>
  </si>
  <si>
    <t>2245230</t>
  </si>
  <si>
    <t>Спуск 90° 200х50</t>
  </si>
  <si>
    <t>2246230</t>
  </si>
  <si>
    <t>Спуск 90° 300х50</t>
  </si>
  <si>
    <t>2247230</t>
  </si>
  <si>
    <t>Спуск 90° 400х50</t>
  </si>
  <si>
    <t>2248230</t>
  </si>
  <si>
    <t>Спуск 90° 500х50</t>
  </si>
  <si>
    <t>2241230</t>
  </si>
  <si>
    <t>Спуск 90° 50х50</t>
  </si>
  <si>
    <t>2249230</t>
  </si>
  <si>
    <t>Спуск 90° 600х50</t>
  </si>
  <si>
    <t>1.3.4.3. Спуск 90° Н=80 мм</t>
  </si>
  <si>
    <t>2243330</t>
  </si>
  <si>
    <t>Спуск 90° 100х80</t>
  </si>
  <si>
    <t>2244330</t>
  </si>
  <si>
    <t>Спуск 90° 150х80</t>
  </si>
  <si>
    <t>2245330</t>
  </si>
  <si>
    <t>Спуск 90° 200х80</t>
  </si>
  <si>
    <t>2246330</t>
  </si>
  <si>
    <t>Спуск 90° 300х80</t>
  </si>
  <si>
    <t>2247330</t>
  </si>
  <si>
    <t>Спуск 90° 400х80</t>
  </si>
  <si>
    <t>2248330</t>
  </si>
  <si>
    <t>Спуск 90° 500х80</t>
  </si>
  <si>
    <t>2249330</t>
  </si>
  <si>
    <t>Спуск 90° 600х80</t>
  </si>
  <si>
    <t>2242330</t>
  </si>
  <si>
    <t>Спуск 90° 80х80</t>
  </si>
  <si>
    <t>1.3.4.5. Спуск 90° Н=100 мм</t>
  </si>
  <si>
    <t>2243430</t>
  </si>
  <si>
    <t>Спуск 90° 100х100</t>
  </si>
  <si>
    <t>2244430</t>
  </si>
  <si>
    <t>Спуск 90° 150х100</t>
  </si>
  <si>
    <t>2245430</t>
  </si>
  <si>
    <t>Спуск 90° 200х100</t>
  </si>
  <si>
    <t>2246430</t>
  </si>
  <si>
    <t>Спуск 90° 300х100</t>
  </si>
  <si>
    <t>2247430</t>
  </si>
  <si>
    <t>Спуск 90° 400х100</t>
  </si>
  <si>
    <t>2248430</t>
  </si>
  <si>
    <t>Спуск 90° 500х100</t>
  </si>
  <si>
    <t>2249430</t>
  </si>
  <si>
    <t>Спуск 90° 600х100</t>
  </si>
  <si>
    <t>1.3.4.6. Кришка спуску 90°</t>
  </si>
  <si>
    <t>2243031</t>
  </si>
  <si>
    <t>Кришка спуску 90° 100</t>
  </si>
  <si>
    <t>2244031</t>
  </si>
  <si>
    <t>Кришка спуску 90° 150</t>
  </si>
  <si>
    <t>2245031</t>
  </si>
  <si>
    <t>Кришка спуску 90° 200</t>
  </si>
  <si>
    <t>2246031</t>
  </si>
  <si>
    <t>Кришка спуску 90° 300</t>
  </si>
  <si>
    <t>2247031</t>
  </si>
  <si>
    <t>Кришка спуску 90° 400</t>
  </si>
  <si>
    <t>2241031</t>
  </si>
  <si>
    <t>Кришка спуску 90° 50</t>
  </si>
  <si>
    <t>2248031</t>
  </si>
  <si>
    <t>Кришка спуску 90° 500</t>
  </si>
  <si>
    <t>2249031</t>
  </si>
  <si>
    <t>Кришка спуску 90° 600</t>
  </si>
  <si>
    <t>2242031</t>
  </si>
  <si>
    <t>Кришка спуску 90° 80</t>
  </si>
  <si>
    <t>1.3. 5. Спуск 45°</t>
  </si>
  <si>
    <t>1.3.5.1. Спуск 45° Н=35 мм</t>
  </si>
  <si>
    <t>2263130</t>
  </si>
  <si>
    <t>Спуск 45° 100х35</t>
  </si>
  <si>
    <t>2264130</t>
  </si>
  <si>
    <t>Спуск 45° 150х35</t>
  </si>
  <si>
    <t>2265130</t>
  </si>
  <si>
    <t>Спуск 45° 200х35</t>
  </si>
  <si>
    <t>2266130</t>
  </si>
  <si>
    <t>Спуск 45° 300х35</t>
  </si>
  <si>
    <t>2261130</t>
  </si>
  <si>
    <t>Спуск 45° 50х35</t>
  </si>
  <si>
    <t>2262130</t>
  </si>
  <si>
    <t>Спуск 45° 80х35</t>
  </si>
  <si>
    <t>1.3.5.2. Спуск 45° Н=50 мм</t>
  </si>
  <si>
    <t>2263230</t>
  </si>
  <si>
    <t>Спуск 45° 100х50</t>
  </si>
  <si>
    <t>2264230</t>
  </si>
  <si>
    <t>Спуск 45° 150х50</t>
  </si>
  <si>
    <t>2265230</t>
  </si>
  <si>
    <t>Спуск 45° 200х50</t>
  </si>
  <si>
    <t>2266230</t>
  </si>
  <si>
    <t>Спуск 45° 300х50</t>
  </si>
  <si>
    <t>2267230</t>
  </si>
  <si>
    <t>Спуск 45° 400х50</t>
  </si>
  <si>
    <t>2268230</t>
  </si>
  <si>
    <t>Спуск 45° 500х50</t>
  </si>
  <si>
    <t>2261230</t>
  </si>
  <si>
    <t>Спуск 45° 50х50</t>
  </si>
  <si>
    <t>2269230</t>
  </si>
  <si>
    <t>Спуск 45° 600х50</t>
  </si>
  <si>
    <t>1.3.5.3. Спуск 45° Н=80 мм</t>
  </si>
  <si>
    <t>2263330</t>
  </si>
  <si>
    <t>Спуск 45° 100х80</t>
  </si>
  <si>
    <t>2264330</t>
  </si>
  <si>
    <t>Спуск 45° 150х80</t>
  </si>
  <si>
    <t>2265330</t>
  </si>
  <si>
    <t>Спуск 45° 200х80</t>
  </si>
  <si>
    <t>2266330</t>
  </si>
  <si>
    <t>Спуск 45° 300х80</t>
  </si>
  <si>
    <t>2267330</t>
  </si>
  <si>
    <t>Спуск 45° 400х80</t>
  </si>
  <si>
    <t>2268330</t>
  </si>
  <si>
    <t>Спуск 45° 500х80</t>
  </si>
  <si>
    <t>2269330</t>
  </si>
  <si>
    <t>Спуск 45° 600х80</t>
  </si>
  <si>
    <t>2262330</t>
  </si>
  <si>
    <t>Спуск 45° 80х80</t>
  </si>
  <si>
    <t>1.3.5.4. Спуск 45° Н=100 мм</t>
  </si>
  <si>
    <t>2263430</t>
  </si>
  <si>
    <t>Спуск 45° 100х100</t>
  </si>
  <si>
    <t>2264430</t>
  </si>
  <si>
    <t>Спуск 45° 150х100</t>
  </si>
  <si>
    <t>2265430</t>
  </si>
  <si>
    <t>Спуск 45° 200х100</t>
  </si>
  <si>
    <t>2266430</t>
  </si>
  <si>
    <t>Спуск 45° 300х100</t>
  </si>
  <si>
    <t>2267430</t>
  </si>
  <si>
    <t>Спуск 45° 400х100</t>
  </si>
  <si>
    <t>2268430</t>
  </si>
  <si>
    <t>Спуск 45° 500х100</t>
  </si>
  <si>
    <t>2269430</t>
  </si>
  <si>
    <t>Спуск 45° 600х100</t>
  </si>
  <si>
    <t>1.3.5.5. Кришка спуску 45°</t>
  </si>
  <si>
    <t>2263031</t>
  </si>
  <si>
    <t>Кришка спуску 45° 100</t>
  </si>
  <si>
    <t>2264031</t>
  </si>
  <si>
    <t>Кришка спуску 45° 150</t>
  </si>
  <si>
    <t>2265031</t>
  </si>
  <si>
    <t>Кришка спуску 45° 200</t>
  </si>
  <si>
    <t>2266031</t>
  </si>
  <si>
    <t>Кришка спуску 45° 300</t>
  </si>
  <si>
    <t>2267031</t>
  </si>
  <si>
    <t>Кришка спуску 45° 400</t>
  </si>
  <si>
    <t>2261031</t>
  </si>
  <si>
    <t>Кришка спуску 45° 50</t>
  </si>
  <si>
    <t>2268031</t>
  </si>
  <si>
    <t>Кришка спуску 45° 500</t>
  </si>
  <si>
    <t>2269031</t>
  </si>
  <si>
    <t>Кришка спуску 45° 600</t>
  </si>
  <si>
    <t>2262031</t>
  </si>
  <si>
    <t>Кришка спуску 45° 80</t>
  </si>
  <si>
    <t>1.3. 6. Підйом 90°</t>
  </si>
  <si>
    <t>1.3.6.1. Підйом 90° Н=35 мм</t>
  </si>
  <si>
    <t>2233130</t>
  </si>
  <si>
    <t>Підйом 90° 100х35</t>
  </si>
  <si>
    <t>2234130</t>
  </si>
  <si>
    <t>Підйом 90° 150х35</t>
  </si>
  <si>
    <t>2235130</t>
  </si>
  <si>
    <t>Підйом 90° 200х35</t>
  </si>
  <si>
    <t>2236130</t>
  </si>
  <si>
    <t>Підйом 90° 300х35</t>
  </si>
  <si>
    <t>2231130</t>
  </si>
  <si>
    <t>Підйом 90° 50х35</t>
  </si>
  <si>
    <t>2232130</t>
  </si>
  <si>
    <t>Підйом 90° 80х35</t>
  </si>
  <si>
    <t>1.3.6.2. Підйом 90° Н=50 мм</t>
  </si>
  <si>
    <t>2233230</t>
  </si>
  <si>
    <t>2234230</t>
  </si>
  <si>
    <t>Підйом 90° 150х50</t>
  </si>
  <si>
    <t>2235230</t>
  </si>
  <si>
    <t>Підйом 90° 200х50</t>
  </si>
  <si>
    <t>2236230</t>
  </si>
  <si>
    <t>Підйом 90° 300х50</t>
  </si>
  <si>
    <t>2237230</t>
  </si>
  <si>
    <t>Підйом 90° 400х50</t>
  </si>
  <si>
    <t>2238230</t>
  </si>
  <si>
    <t>Підйом 90° 500х50</t>
  </si>
  <si>
    <t>2231230</t>
  </si>
  <si>
    <t>Підйом 90° 50х50</t>
  </si>
  <si>
    <t>2239230</t>
  </si>
  <si>
    <t>Підйом 90° 600х50</t>
  </si>
  <si>
    <t>1.3.6.3. Підйом 90° Н=80 мм</t>
  </si>
  <si>
    <t>2233330</t>
  </si>
  <si>
    <t>Підйом 90° 100х80</t>
  </si>
  <si>
    <t>2234330</t>
  </si>
  <si>
    <t>Підйом 90° 150х80</t>
  </si>
  <si>
    <t>2235330</t>
  </si>
  <si>
    <t>Підйом 90° 200х80</t>
  </si>
  <si>
    <t>2236330</t>
  </si>
  <si>
    <t>2237330</t>
  </si>
  <si>
    <t>Підйом 90° 400х80</t>
  </si>
  <si>
    <t>2238330</t>
  </si>
  <si>
    <t>Підйом 90° 500х80</t>
  </si>
  <si>
    <t>2239330</t>
  </si>
  <si>
    <t>Підйом 90° 600х80</t>
  </si>
  <si>
    <t>2232330</t>
  </si>
  <si>
    <t>Підйом 90° 80х80</t>
  </si>
  <si>
    <t>1.3.6.4. Підйом 90° Н=100 мм</t>
  </si>
  <si>
    <t>2233430</t>
  </si>
  <si>
    <t>Підйом 90° 100х100</t>
  </si>
  <si>
    <t>2234430</t>
  </si>
  <si>
    <t>Підйом 90° 150х100</t>
  </si>
  <si>
    <t>2235430</t>
  </si>
  <si>
    <t>Підйом 90° 200х100</t>
  </si>
  <si>
    <t>2236430</t>
  </si>
  <si>
    <t>Підйом 90° 300х100</t>
  </si>
  <si>
    <t>2237430</t>
  </si>
  <si>
    <t>Підйом 90° 400х100</t>
  </si>
  <si>
    <t>2238430</t>
  </si>
  <si>
    <t>Підйом 90° 500х100</t>
  </si>
  <si>
    <t>2239430</t>
  </si>
  <si>
    <t>Підйом 90° 600х100</t>
  </si>
  <si>
    <t>1.3.6.5. Кришка підйому 90°</t>
  </si>
  <si>
    <t>2233031</t>
  </si>
  <si>
    <t>2234031</t>
  </si>
  <si>
    <t>Кришка підйому 90° 150</t>
  </si>
  <si>
    <t>2235031</t>
  </si>
  <si>
    <t>Кришка підйому 90° 200</t>
  </si>
  <si>
    <t>2236031</t>
  </si>
  <si>
    <t>2237031</t>
  </si>
  <si>
    <t>Кришка підйому 90° 400</t>
  </si>
  <si>
    <t>2231031</t>
  </si>
  <si>
    <t>Кришка підйому 90° 50</t>
  </si>
  <si>
    <t>2238031</t>
  </si>
  <si>
    <t>Кришка підйому 90° 500</t>
  </si>
  <si>
    <t>2239031</t>
  </si>
  <si>
    <t>Кришка підйому 90° 600</t>
  </si>
  <si>
    <t>2232031</t>
  </si>
  <si>
    <t>Кришка підйому 90° 80</t>
  </si>
  <si>
    <t>1.3. 7. Підйом 45°</t>
  </si>
  <si>
    <t>1.3.7.1. Підйом 45° Н=35 мм</t>
  </si>
  <si>
    <t>2253130</t>
  </si>
  <si>
    <t>Підйом 45° 100х35</t>
  </si>
  <si>
    <t>2254130</t>
  </si>
  <si>
    <t>Підйом 45° 150х35</t>
  </si>
  <si>
    <t>2255130</t>
  </si>
  <si>
    <t>Підйом 45° 200х35</t>
  </si>
  <si>
    <t>2256130</t>
  </si>
  <si>
    <t>Підйом 45° 300х35</t>
  </si>
  <si>
    <t>2251130</t>
  </si>
  <si>
    <t>Підйом 45° 50х35</t>
  </si>
  <si>
    <t>2252130</t>
  </si>
  <si>
    <t>Підйом 45° 80х35</t>
  </si>
  <si>
    <t>1.3.7.2. Підйом 45° Н=50 мм</t>
  </si>
  <si>
    <t>2253230</t>
  </si>
  <si>
    <t>Підйом 45° 100х50</t>
  </si>
  <si>
    <t>2254230</t>
  </si>
  <si>
    <t>Підйом 45° 150х50</t>
  </si>
  <si>
    <t>2255230</t>
  </si>
  <si>
    <t>Підйом 45° 200х50</t>
  </si>
  <si>
    <t>2256230</t>
  </si>
  <si>
    <t>Підйом 45° 300х50</t>
  </si>
  <si>
    <t>2257230</t>
  </si>
  <si>
    <t>Підйом 45° 400х50</t>
  </si>
  <si>
    <t>2258230</t>
  </si>
  <si>
    <t>Підйом 45° 500х50</t>
  </si>
  <si>
    <t>2251230</t>
  </si>
  <si>
    <t>Підйом 45° 50х50</t>
  </si>
  <si>
    <t>2259230</t>
  </si>
  <si>
    <t>Підйом 45° 600х50</t>
  </si>
  <si>
    <t>1.3.7.3. Підйом 45° Н=80 мм</t>
  </si>
  <si>
    <t>2253330</t>
  </si>
  <si>
    <t>Підйом 45° 100х80</t>
  </si>
  <si>
    <t>2254330</t>
  </si>
  <si>
    <t>Підйом 45° 150х80</t>
  </si>
  <si>
    <t>2255330</t>
  </si>
  <si>
    <t>Підйом 45° 200х80</t>
  </si>
  <si>
    <t>2256330</t>
  </si>
  <si>
    <t>Підйом 45° 300х80</t>
  </si>
  <si>
    <t>2257330</t>
  </si>
  <si>
    <t>Підйом 45° 400х80</t>
  </si>
  <si>
    <t>2258330</t>
  </si>
  <si>
    <t>Підйом 45° 500х80</t>
  </si>
  <si>
    <t>2259330</t>
  </si>
  <si>
    <t>Підйом 45° 600х80</t>
  </si>
  <si>
    <t>2252330</t>
  </si>
  <si>
    <t>Підйом 45° 80х80</t>
  </si>
  <si>
    <t>1.3.7.4. Підйом 45° Н=100 мм</t>
  </si>
  <si>
    <t>2253430</t>
  </si>
  <si>
    <t>Підйом 45° 100х100</t>
  </si>
  <si>
    <t>2254430</t>
  </si>
  <si>
    <t>Підйом 45° 150х100</t>
  </si>
  <si>
    <t>2255430</t>
  </si>
  <si>
    <t>Підйом 45° 200х100</t>
  </si>
  <si>
    <t>2256430</t>
  </si>
  <si>
    <t>Підйом 45° 300х100</t>
  </si>
  <si>
    <t>2257430</t>
  </si>
  <si>
    <t>Підйом 45° 400х100</t>
  </si>
  <si>
    <t>2258430</t>
  </si>
  <si>
    <t>Підйом 45° 500х100</t>
  </si>
  <si>
    <t>2259430</t>
  </si>
  <si>
    <t>Підйом 45° 600х100</t>
  </si>
  <si>
    <t>1.3.7.5. Кришка підйому 45°</t>
  </si>
  <si>
    <t>2253031</t>
  </si>
  <si>
    <t>Кришка підйому 45° 100</t>
  </si>
  <si>
    <t>2254031</t>
  </si>
  <si>
    <t>Кришка підйому 45° 150</t>
  </si>
  <si>
    <t>2255031</t>
  </si>
  <si>
    <t>Кришка підйому 45° 200</t>
  </si>
  <si>
    <t>2256031</t>
  </si>
  <si>
    <t>Кришка підйому 45° 300</t>
  </si>
  <si>
    <t>2257031</t>
  </si>
  <si>
    <t>Кришка підйому 45° 400</t>
  </si>
  <si>
    <t>2251031</t>
  </si>
  <si>
    <t>Кришка підйому 45° 50</t>
  </si>
  <si>
    <t>2258031</t>
  </si>
  <si>
    <t>Кришка підйому 45° 500</t>
  </si>
  <si>
    <t>2259031</t>
  </si>
  <si>
    <t>Кришка підйому 45° 600</t>
  </si>
  <si>
    <t>2252031</t>
  </si>
  <si>
    <t>Кришка підйому 45° 80</t>
  </si>
  <si>
    <t>1.3. 8. Спуск 90° з розворотом</t>
  </si>
  <si>
    <t>1.3.8.1. Спуск 90° з розворотом Н=35 мм</t>
  </si>
  <si>
    <t>2713130</t>
  </si>
  <si>
    <t>Спуск 90° з розворотом 100х35</t>
  </si>
  <si>
    <t>2714130</t>
  </si>
  <si>
    <t>Спуск 90° з розворотом 150х35</t>
  </si>
  <si>
    <t>2715130</t>
  </si>
  <si>
    <t>Спуск 90° з розворотом 200х35</t>
  </si>
  <si>
    <t>2716130</t>
  </si>
  <si>
    <t>Спуск 90° з розворотом 300х35</t>
  </si>
  <si>
    <t>2711130</t>
  </si>
  <si>
    <t>Спуск 90° з розворотом 50х35</t>
  </si>
  <si>
    <t>2712130</t>
  </si>
  <si>
    <t>Спуск 90° з розворотом 80х35</t>
  </si>
  <si>
    <t>1.3.8.2. Спуск 90° з розворотом Н=50 мм</t>
  </si>
  <si>
    <t>2713230</t>
  </si>
  <si>
    <t>Спуск 90° з розворотом 100х50</t>
  </si>
  <si>
    <t>2714230</t>
  </si>
  <si>
    <t>Спуск 90° з розворотом 150х50</t>
  </si>
  <si>
    <t>2715230</t>
  </si>
  <si>
    <t>Спуск 90° з розворотом 200х50</t>
  </si>
  <si>
    <t>2716230</t>
  </si>
  <si>
    <t>Спуск 90° з розворотом 300х50</t>
  </si>
  <si>
    <t>2717230</t>
  </si>
  <si>
    <t>Спуск 90° з розворотом 400х50</t>
  </si>
  <si>
    <t>2718230</t>
  </si>
  <si>
    <t>Спуск 90° з розворотом 500х50</t>
  </si>
  <si>
    <t>2711230</t>
  </si>
  <si>
    <t>Спуск 90° з розворотом 50х50</t>
  </si>
  <si>
    <t>2719230</t>
  </si>
  <si>
    <t>Спуск 90° з розворотом 600х50</t>
  </si>
  <si>
    <t>1.3.8.3. Спуск 90° з розворотом Н=80 мм</t>
  </si>
  <si>
    <t>2713330</t>
  </si>
  <si>
    <t>Спуск 90° з розворотом 100х80</t>
  </si>
  <si>
    <t>2714330</t>
  </si>
  <si>
    <t>Спуск 90° з розворотом 150х80</t>
  </si>
  <si>
    <t>2715330</t>
  </si>
  <si>
    <t>Спуск 90° з розворотом 200х80</t>
  </si>
  <si>
    <t>2716330</t>
  </si>
  <si>
    <t>Спуск 90° з розворотом 300х80</t>
  </si>
  <si>
    <t>2717330</t>
  </si>
  <si>
    <t>Спуск 90° з розворотом 400х80</t>
  </si>
  <si>
    <t>2718330</t>
  </si>
  <si>
    <t>Спуск 90° з розворотом 500х80</t>
  </si>
  <si>
    <t>2719330</t>
  </si>
  <si>
    <t>Спуск 90° з розворотом 600х80</t>
  </si>
  <si>
    <t>2712330</t>
  </si>
  <si>
    <t>Спуск 90° з розворотом 80х80</t>
  </si>
  <si>
    <t>1.3.8.4. Спуск 90° з розворотом Н=100 мм</t>
  </si>
  <si>
    <t>2713430</t>
  </si>
  <si>
    <t>Спуск 90° з розворотом 100х100</t>
  </si>
  <si>
    <t>2714430</t>
  </si>
  <si>
    <t>Спуск 90° з розворотом 150х100</t>
  </si>
  <si>
    <t>2715430</t>
  </si>
  <si>
    <t>Спуск 90° з розворотом 200х100</t>
  </si>
  <si>
    <t>2716430</t>
  </si>
  <si>
    <t>Спуск 90° з розворотом 300х100</t>
  </si>
  <si>
    <t>2717430</t>
  </si>
  <si>
    <t>Спуск 90° з розворотом 400х100</t>
  </si>
  <si>
    <t>2718430</t>
  </si>
  <si>
    <t>Спуск 90° з розворотом 500х100</t>
  </si>
  <si>
    <t>2719430</t>
  </si>
  <si>
    <t>Спуск 90° з розворотом 600х100</t>
  </si>
  <si>
    <t>1.3.8.5. Кришка спуску 90° з розворотом Н=35 мм</t>
  </si>
  <si>
    <t>2713131</t>
  </si>
  <si>
    <t>Кришка спуску 90° з розворотом 100х35</t>
  </si>
  <si>
    <t>2714131</t>
  </si>
  <si>
    <t>Кришка спуску 90° з розворотом 150х35</t>
  </si>
  <si>
    <t>2715131</t>
  </si>
  <si>
    <t>Кришка спуску 90° з розворотом 200х35</t>
  </si>
  <si>
    <t>2716131</t>
  </si>
  <si>
    <t>Кришка спуску 90° з розворотом 300х35</t>
  </si>
  <si>
    <t>2711131</t>
  </si>
  <si>
    <t>Кришка спуску 90° з розворотом 50х35</t>
  </si>
  <si>
    <t>2712131</t>
  </si>
  <si>
    <t>Кришка спуску 90° з розворотом 80х35</t>
  </si>
  <si>
    <t>1.3.8.6. Кришка спуску 90° з розворотом Н=50 мм</t>
  </si>
  <si>
    <t>2713231</t>
  </si>
  <si>
    <t>Кришка спуску 90° з розворотом 100х50</t>
  </si>
  <si>
    <t>2714231</t>
  </si>
  <si>
    <t>Кришка спуску 90° з розворотом 150х50</t>
  </si>
  <si>
    <t>2715231</t>
  </si>
  <si>
    <t>Кришка спуску 90° з розворотом 200х50</t>
  </si>
  <si>
    <t>2716231</t>
  </si>
  <si>
    <t>Кришка спуску 90° з розворотом 300х50</t>
  </si>
  <si>
    <t>2717231</t>
  </si>
  <si>
    <t>Кришка спуску 90° з розворотом 400х50</t>
  </si>
  <si>
    <t>2718231</t>
  </si>
  <si>
    <t>Кришка спуску 90° з розворотом 500х50</t>
  </si>
  <si>
    <t>2711231</t>
  </si>
  <si>
    <t>Кришка спуску 90° з розворотом 50х50</t>
  </si>
  <si>
    <t>2719231</t>
  </si>
  <si>
    <t>Кришка спуску 90° з розворотом 600х50</t>
  </si>
  <si>
    <t>1.3.8.7. Кришка спуску 90° з розворотом Н=80 мм</t>
  </si>
  <si>
    <t>2713331</t>
  </si>
  <si>
    <t>Кришка спуску 90° з розворотом 100х80</t>
  </si>
  <si>
    <t>2714331</t>
  </si>
  <si>
    <t>Кришка спуску 90° з розворотом 150х80</t>
  </si>
  <si>
    <t>2715331</t>
  </si>
  <si>
    <t>Кришка спуску 90° з розворотом 200х80</t>
  </si>
  <si>
    <t>2716331</t>
  </si>
  <si>
    <t>Кришка спуску 90° з розворотом 300х80</t>
  </si>
  <si>
    <t>2717331</t>
  </si>
  <si>
    <t>Кришка спуску 90° з розворотом 400х80</t>
  </si>
  <si>
    <t>2718331</t>
  </si>
  <si>
    <t>Кришка спуску 90° з розворотом 500х80</t>
  </si>
  <si>
    <t>2719331</t>
  </si>
  <si>
    <t>Кришка спуску 90° з розворотом 600х80</t>
  </si>
  <si>
    <t>2712331</t>
  </si>
  <si>
    <t>Кришка спуску 90° з розворотом 80х80</t>
  </si>
  <si>
    <t>1.3.8.8. Кришка спуску 90° з розворотом Н=100 мм</t>
  </si>
  <si>
    <t>2713431</t>
  </si>
  <si>
    <t>Кришка спуску 90° з розворотом 100х100</t>
  </si>
  <si>
    <t>2714431</t>
  </si>
  <si>
    <t>Кришка спуску 90° з розворотом 150х100</t>
  </si>
  <si>
    <t>2715431</t>
  </si>
  <si>
    <t>Кришка спуску 90° з розворотом 200х100</t>
  </si>
  <si>
    <t>2716431</t>
  </si>
  <si>
    <t>Кришка спуску 90° з розворотом 300х100</t>
  </si>
  <si>
    <t>2717431</t>
  </si>
  <si>
    <t>Кришка спуску 90° з розворотом 400х100</t>
  </si>
  <si>
    <t>2718431</t>
  </si>
  <si>
    <t>Кришка спуску 90° з розворотом 500х100</t>
  </si>
  <si>
    <t>2719431</t>
  </si>
  <si>
    <t>Кришка спуску 90° з розворотом 600х100</t>
  </si>
  <si>
    <t>1.3. 9. Спуск 90° правосторонній з розворотом</t>
  </si>
  <si>
    <t>1.3.9.1. Спуск 90° правосторонній з розворотом Н=35 мм</t>
  </si>
  <si>
    <t>2721130</t>
  </si>
  <si>
    <t>Спуск 90° правосторонній з розворотом  50х35</t>
  </si>
  <si>
    <t>2722130</t>
  </si>
  <si>
    <t>Спуск 90° правосторонній з розворотом  80х35</t>
  </si>
  <si>
    <t>2723130</t>
  </si>
  <si>
    <t>Спуск 90° правосторонній з розворотом 100х35</t>
  </si>
  <si>
    <t>2724130</t>
  </si>
  <si>
    <t>Спуск 90° правосторонній з розворотом 150х35</t>
  </si>
  <si>
    <t>2725130</t>
  </si>
  <si>
    <t>Спуск 90° правосторонній з розворотом 200х35</t>
  </si>
  <si>
    <t>2726130</t>
  </si>
  <si>
    <t>Спуск 90° правосторонній з розворотом 300х35</t>
  </si>
  <si>
    <t>1.3.9.2. Спуск 90° правосторонній з розворотом Н=50 мм</t>
  </si>
  <si>
    <t>2723230</t>
  </si>
  <si>
    <t>Спуск 90° правосторонній з розворотом 100х50</t>
  </si>
  <si>
    <t>2724230</t>
  </si>
  <si>
    <t>Спуск 90° правосторонній з розворотом 150х50</t>
  </si>
  <si>
    <t>2725230</t>
  </si>
  <si>
    <t>Спуск 90° правосторонній з розворотом 200х50</t>
  </si>
  <si>
    <t>2726230</t>
  </si>
  <si>
    <t>Спуск 90° правосторонній з розворотом 300х50</t>
  </si>
  <si>
    <t>2727230</t>
  </si>
  <si>
    <t>Спуск 90° правосторонній з розворотом 400х50</t>
  </si>
  <si>
    <t>2728230</t>
  </si>
  <si>
    <t>Спуск 90° правосторонній з розворотом 500х50</t>
  </si>
  <si>
    <t>2721230</t>
  </si>
  <si>
    <t>Спуск 90° правосторонній з розворотом 50х50</t>
  </si>
  <si>
    <t>2729230</t>
  </si>
  <si>
    <t>Спуск 90° правосторонній з розворотом 600х50</t>
  </si>
  <si>
    <t>1.3.9.3. Спуск 90° правосторонній з розворотом Н=80 мм</t>
  </si>
  <si>
    <t>2723330</t>
  </si>
  <si>
    <t>Спуск 90° правосторонній з розворотом 100х80</t>
  </si>
  <si>
    <t>2724330</t>
  </si>
  <si>
    <t>Спуск 90° правосторонній з розворотом 150х80</t>
  </si>
  <si>
    <t>2725330</t>
  </si>
  <si>
    <t>Спуск 90° правосторонній з розворотом 200х80</t>
  </si>
  <si>
    <t>2726330</t>
  </si>
  <si>
    <t>Спуск 90° правосторонній з розворотом 300х80</t>
  </si>
  <si>
    <t>2727330</t>
  </si>
  <si>
    <t>Спуск 90° правосторонній з розворотом 400х80</t>
  </si>
  <si>
    <t>2728330</t>
  </si>
  <si>
    <t>Спуск 90° правосторонній з розворотом 500х80</t>
  </si>
  <si>
    <t>2729330</t>
  </si>
  <si>
    <t>Спуск 90° правосторонній з розворотом 600х80</t>
  </si>
  <si>
    <t>2722330</t>
  </si>
  <si>
    <t>Спуск 90° правосторонній з розворотом 80х80</t>
  </si>
  <si>
    <t>1.3.9.4. Спуск 90° правосторонній з розворотом Н=100 мм</t>
  </si>
  <si>
    <t>2723430</t>
  </si>
  <si>
    <t>Спуск 90° правосторонній з розворотом 100х100</t>
  </si>
  <si>
    <t>2724430</t>
  </si>
  <si>
    <t>Спуск 90° правосторонній з розворотом 150х100</t>
  </si>
  <si>
    <t>2725430</t>
  </si>
  <si>
    <t>Спуск 90° правосторонній з розворотом 200х100</t>
  </si>
  <si>
    <t>2726430</t>
  </si>
  <si>
    <t>Спуск 90° правосторонній з розворотом 300х100</t>
  </si>
  <si>
    <t>2727430</t>
  </si>
  <si>
    <t>Спуск 90° правосторонній з розворотом 400х100</t>
  </si>
  <si>
    <t>2728430</t>
  </si>
  <si>
    <t>Спуск 90° правосторонній з розворотом 500х100</t>
  </si>
  <si>
    <t>2729430</t>
  </si>
  <si>
    <t>Спуск 90° правосторонній з розворотом 600х100</t>
  </si>
  <si>
    <t>1.3.9.5. Кришка спуску 90° право/лівостороннього з розворотом</t>
  </si>
  <si>
    <t>2703031</t>
  </si>
  <si>
    <t>Кришка спуску 90° право/лівостороннього з розворотом 100</t>
  </si>
  <si>
    <t>2704031</t>
  </si>
  <si>
    <t>Кришка спуску 90° право/лівостороннього з розворотом 150</t>
  </si>
  <si>
    <t>2705031</t>
  </si>
  <si>
    <t>Кришка спуску 90° право/лівостороннього з розворотом 200</t>
  </si>
  <si>
    <t>2706031</t>
  </si>
  <si>
    <t>Кришка спуску 90° право/лівостороннього з розворотом 300</t>
  </si>
  <si>
    <t>2707031</t>
  </si>
  <si>
    <t>Кришка спуску 90° право/лівостороннього з розворотом 400</t>
  </si>
  <si>
    <t>2701031</t>
  </si>
  <si>
    <t>Кришка спуску 90° право/лівостороннього з розворотом 50</t>
  </si>
  <si>
    <t>2708031</t>
  </si>
  <si>
    <t>Кришка спуску 90° право/лівостороннього з розворотом 500</t>
  </si>
  <si>
    <t>2709031</t>
  </si>
  <si>
    <t>Кришка спуску 90° право/лівостороннього з розворотом 600</t>
  </si>
  <si>
    <t>2702031</t>
  </si>
  <si>
    <t>Кришка спуску 90° право/лівостороннього з розворотом 80</t>
  </si>
  <si>
    <t>1.3.10. Спуск 90° лівосторонній з розворотом</t>
  </si>
  <si>
    <t>1.3.10.1. Спуск 90° лівосторонній з розворотом Н=35 мм</t>
  </si>
  <si>
    <t>2733130</t>
  </si>
  <si>
    <t>Спуск 90° лівосторонній з розворотом 100х35</t>
  </si>
  <si>
    <t>2734130</t>
  </si>
  <si>
    <t>Спуск 90° лівосторонній з розворотом 150х35</t>
  </si>
  <si>
    <t>2735130</t>
  </si>
  <si>
    <t>Спуск 90° лівосторонній з розворотом 200х35</t>
  </si>
  <si>
    <t>2736130</t>
  </si>
  <si>
    <t>Спуск 90° лівосторонній з розворотом 300х35</t>
  </si>
  <si>
    <t>2731130</t>
  </si>
  <si>
    <t>Спуск 90° лівосторонній з розворотом 50х35</t>
  </si>
  <si>
    <t>2732130</t>
  </si>
  <si>
    <t>Спуск 90° лівосторонній з розворотом 80х35</t>
  </si>
  <si>
    <t>1.3.10.2. Спуск 90° лівосторонній з розворотом Н=50 мм</t>
  </si>
  <si>
    <t>2733230</t>
  </si>
  <si>
    <t>Спуск 90° лівосторонній з розворотом 100х50</t>
  </si>
  <si>
    <t>2734230</t>
  </si>
  <si>
    <t>Спуск 90° лівосторонній з розворотом 150х50</t>
  </si>
  <si>
    <t>2735230</t>
  </si>
  <si>
    <t>Спуск 90° лівосторонній з розворотом 200х50</t>
  </si>
  <si>
    <t>2736230</t>
  </si>
  <si>
    <t>Спуск 90° лівосторонній з розворотом 300х50</t>
  </si>
  <si>
    <t>2737230</t>
  </si>
  <si>
    <t>Спуск 90° лівосторонній з розворотом 400х50</t>
  </si>
  <si>
    <t>2738230</t>
  </si>
  <si>
    <t>Спуск 90° лівосторонній з розворотом 500х50</t>
  </si>
  <si>
    <t>2731230</t>
  </si>
  <si>
    <t>Спуск 90° лівосторонній з розворотом 50х50</t>
  </si>
  <si>
    <t>2739230</t>
  </si>
  <si>
    <t>Спуск 90° лівосторонній з розворотом 600х50</t>
  </si>
  <si>
    <t>1.3.10.3. Спуск 90° лівосторонній з розворотом Н=80 мм</t>
  </si>
  <si>
    <t>2733330</t>
  </si>
  <si>
    <t>Спуск 90° лівосторонній з розворотом 100х80</t>
  </si>
  <si>
    <t>2734330</t>
  </si>
  <si>
    <t>Спуск 90° лівосторонній з розворотом 150х80</t>
  </si>
  <si>
    <t>2735330</t>
  </si>
  <si>
    <t>Спуск 90° лівосторонній з розворотом 200х80</t>
  </si>
  <si>
    <t>2736330</t>
  </si>
  <si>
    <t>Спуск 90° лівосторонній з розворотом 300х80</t>
  </si>
  <si>
    <t>2737330</t>
  </si>
  <si>
    <t>Спуск 90° лівосторонній з розворотом 400х80</t>
  </si>
  <si>
    <t>2738330</t>
  </si>
  <si>
    <t>Спуск 90° лівосторонній з розворотом 500х80</t>
  </si>
  <si>
    <t>2739330</t>
  </si>
  <si>
    <t>Спуск 90° лівосторонній з розворотом 600х80</t>
  </si>
  <si>
    <t>2732330</t>
  </si>
  <si>
    <t>Спуск 90° лівосторонній з розворотом 80х80</t>
  </si>
  <si>
    <t>1.3.10.4. Спуск 90° лівосторонній з розворотом Н=100 мм</t>
  </si>
  <si>
    <t>2733430</t>
  </si>
  <si>
    <t>Спуск 90° лівосторонній з розворотом 100х100</t>
  </si>
  <si>
    <t>2734430</t>
  </si>
  <si>
    <t>Спуск 90° лівосторонній з розворотом 150х100</t>
  </si>
  <si>
    <t>2735430</t>
  </si>
  <si>
    <t>Спуск 90° лівосторонній з розворотом 200х100</t>
  </si>
  <si>
    <t>2736430</t>
  </si>
  <si>
    <t>Спуск 90° лівосторонній з розворотом 300х100</t>
  </si>
  <si>
    <t>2737430</t>
  </si>
  <si>
    <t>Спуск 90° лівосторонній з розворотом 400х100</t>
  </si>
  <si>
    <t>2738430</t>
  </si>
  <si>
    <t>Спуск 90° лівосторонній з розворотом 500х100</t>
  </si>
  <si>
    <t>2739430</t>
  </si>
  <si>
    <t>Спуск 90° лівосторонній з розворотом 600х100</t>
  </si>
  <si>
    <t>1.3.11. Деталь шарнірної арки</t>
  </si>
  <si>
    <t>1.3.11.1. Деталь шарнірної арки Н=35 мм</t>
  </si>
  <si>
    <t>2283120</t>
  </si>
  <si>
    <t>Деталь шарнірної арки 100х35</t>
  </si>
  <si>
    <t>2284120</t>
  </si>
  <si>
    <t>Деталь шарнірної арки 150х35</t>
  </si>
  <si>
    <t>2285120</t>
  </si>
  <si>
    <t>Деталь шарнірної арки 200х35</t>
  </si>
  <si>
    <t>2286120</t>
  </si>
  <si>
    <t>Деталь шарнірної арки 300х35</t>
  </si>
  <si>
    <t>2281120</t>
  </si>
  <si>
    <t>Деталь шарнірної арки 50х35</t>
  </si>
  <si>
    <t>2282120</t>
  </si>
  <si>
    <t>Деталь шарнірної арки 80х35</t>
  </si>
  <si>
    <t>1.3.11.2. Деталь шарнірної арки Н=50 мм</t>
  </si>
  <si>
    <t>2283220</t>
  </si>
  <si>
    <t>Деталь шарнірної арки 100х50</t>
  </si>
  <si>
    <t>2284220</t>
  </si>
  <si>
    <t>Деталь шарнірної арки 150х50</t>
  </si>
  <si>
    <t>2285220</t>
  </si>
  <si>
    <t>Деталь шарнірної арки 200х50</t>
  </si>
  <si>
    <t>2286220</t>
  </si>
  <si>
    <t>Деталь шарнірної арки 300х50</t>
  </si>
  <si>
    <t>2287220</t>
  </si>
  <si>
    <t>Деталь шарнірної арки 400х50</t>
  </si>
  <si>
    <t>2288220</t>
  </si>
  <si>
    <t>Деталь шарнірної арки 500х50</t>
  </si>
  <si>
    <t>2282220</t>
  </si>
  <si>
    <t>Деталь шарнірної арки 50х50</t>
  </si>
  <si>
    <t>2289220</t>
  </si>
  <si>
    <t>Деталь шарнірної арки 600х50</t>
  </si>
  <si>
    <t>1.3.11.3. Деталь шарнірної арки Н=80 мм</t>
  </si>
  <si>
    <t>2283320</t>
  </si>
  <si>
    <t>Деталь шарнірної арки 100х80</t>
  </si>
  <si>
    <t>2284320</t>
  </si>
  <si>
    <t>Деталь шарнірної арки 150х80</t>
  </si>
  <si>
    <t>2285330</t>
  </si>
  <si>
    <t>Деталь шарнірної арки 200х80</t>
  </si>
  <si>
    <t>2286330</t>
  </si>
  <si>
    <t>Деталь шарнірної арки 300х80</t>
  </si>
  <si>
    <t>2287340</t>
  </si>
  <si>
    <t>Деталь шарнірної арки 400х80</t>
  </si>
  <si>
    <t>2288340</t>
  </si>
  <si>
    <t>Деталь шарнірної арки 500х80</t>
  </si>
  <si>
    <t>2289340</t>
  </si>
  <si>
    <t>Деталь шарнірної арки 600х80</t>
  </si>
  <si>
    <t>2282320</t>
  </si>
  <si>
    <t>Деталь шарнірної арки 80х80</t>
  </si>
  <si>
    <t>1.3.11.4. Деталь шарнірної арки Н=100 мм</t>
  </si>
  <si>
    <t>2283420</t>
  </si>
  <si>
    <t>Деталь шарнірної арки 100х100</t>
  </si>
  <si>
    <t>2284420</t>
  </si>
  <si>
    <t>Деталь шарнірної арки 150х100</t>
  </si>
  <si>
    <t>2285430</t>
  </si>
  <si>
    <t>Деталь шарнірної арки 200х100</t>
  </si>
  <si>
    <t>2286430</t>
  </si>
  <si>
    <t>Деталь шарнірної арки 300х100</t>
  </si>
  <si>
    <t>2287440</t>
  </si>
  <si>
    <t>Деталь шарнірної арки 400х100</t>
  </si>
  <si>
    <t>2288440</t>
  </si>
  <si>
    <t>Деталь шарнірної арки 500х100</t>
  </si>
  <si>
    <t>2289440</t>
  </si>
  <si>
    <t>Деталь шарнірної арки 600х100</t>
  </si>
  <si>
    <t>1.3.11.5. Кришка деталі шарнірної арки</t>
  </si>
  <si>
    <t>2283031</t>
  </si>
  <si>
    <t>Кришка деталі шарнірної арки 100</t>
  </si>
  <si>
    <t>2284031</t>
  </si>
  <si>
    <t>Кришка деталі шарнірної арки 150</t>
  </si>
  <si>
    <t>2285031</t>
  </si>
  <si>
    <t>Кришка деталі шарнірної арки 200</t>
  </si>
  <si>
    <t>2286031</t>
  </si>
  <si>
    <t>Кришка деталі шарнірної арки 300</t>
  </si>
  <si>
    <t>2287031</t>
  </si>
  <si>
    <t>Кришка деталі шарнірної арки 400</t>
  </si>
  <si>
    <t>2281031</t>
  </si>
  <si>
    <t>Кришка деталі шарнірної арки 50</t>
  </si>
  <si>
    <t>2288031</t>
  </si>
  <si>
    <t>Кришка деталі шарнірної арки 500</t>
  </si>
  <si>
    <t>2289031</t>
  </si>
  <si>
    <t>Кришка деталі шарнірної арки 600</t>
  </si>
  <si>
    <t>2282031</t>
  </si>
  <si>
    <t>Кришка деталі шарнірної арки 80</t>
  </si>
  <si>
    <t>1.3.12. Шарнірна арка</t>
  </si>
  <si>
    <t>1.3.12.1. Шарнірна арка Н=35 мм</t>
  </si>
  <si>
    <t>3620069</t>
  </si>
  <si>
    <t>Планка кронштейну С-подібна 2000</t>
  </si>
  <si>
    <t>2273120</t>
  </si>
  <si>
    <t>Шарнірна арка 100х35</t>
  </si>
  <si>
    <t>2274120</t>
  </si>
  <si>
    <t>Шарнірна арка 150х35</t>
  </si>
  <si>
    <t>2275120</t>
  </si>
  <si>
    <t>Шарнірна арка 200х35</t>
  </si>
  <si>
    <t>2276120</t>
  </si>
  <si>
    <t>Шарнірна арка 300х35</t>
  </si>
  <si>
    <t>2271120</t>
  </si>
  <si>
    <t>Шарнірна арка 50х35</t>
  </si>
  <si>
    <t>2272120</t>
  </si>
  <si>
    <t>Шарнірна арка 80х35</t>
  </si>
  <si>
    <t>1.3.12.2. Шарнірна арка Н=50 мм</t>
  </si>
  <si>
    <t>2273220</t>
  </si>
  <si>
    <t>Шарнірна арка 100х50</t>
  </si>
  <si>
    <t>2274220</t>
  </si>
  <si>
    <t>Шарнірна арка 150х50</t>
  </si>
  <si>
    <t>2275220</t>
  </si>
  <si>
    <t>Шарнірна арка 200х50</t>
  </si>
  <si>
    <t>2276220</t>
  </si>
  <si>
    <t>Шарнірна арка 300х50</t>
  </si>
  <si>
    <t>2277220</t>
  </si>
  <si>
    <t>Шарнірна арка 400х50</t>
  </si>
  <si>
    <t>2278220</t>
  </si>
  <si>
    <t>Шарнірна арка 500х50</t>
  </si>
  <si>
    <t>2272220</t>
  </si>
  <si>
    <t>Шарнірна арка 50х50</t>
  </si>
  <si>
    <t>2279220</t>
  </si>
  <si>
    <t>Шарнірна арка 600х50</t>
  </si>
  <si>
    <t>1.3.12.3. Шарнірна арка Н=80 мм</t>
  </si>
  <si>
    <t>2273320</t>
  </si>
  <si>
    <t>Шарнірна арка 100х80</t>
  </si>
  <si>
    <t>2274320</t>
  </si>
  <si>
    <t>Шарнірна арка 150х80</t>
  </si>
  <si>
    <t>2275330</t>
  </si>
  <si>
    <t>Шарнірна арка 200х80</t>
  </si>
  <si>
    <t>2276330</t>
  </si>
  <si>
    <t>Шарнірна арка 300х80</t>
  </si>
  <si>
    <t>2277340</t>
  </si>
  <si>
    <t>Шарнірна арка 400х80</t>
  </si>
  <si>
    <t>2278340</t>
  </si>
  <si>
    <t>Шарнірна арка 500х80</t>
  </si>
  <si>
    <t>2279340</t>
  </si>
  <si>
    <t>Шарнірна арка 600х80</t>
  </si>
  <si>
    <t>2272320</t>
  </si>
  <si>
    <t>Шарнірна арка 80х80</t>
  </si>
  <si>
    <t>1.3.12.4. Шарнірна арка Н=100 мм</t>
  </si>
  <si>
    <t>2273420</t>
  </si>
  <si>
    <t>Шарнірна арка 100х100</t>
  </si>
  <si>
    <t>2274420</t>
  </si>
  <si>
    <t>Шарнірна арка 150х100</t>
  </si>
  <si>
    <t>2275430</t>
  </si>
  <si>
    <t>Шарнірна арка 200х100</t>
  </si>
  <si>
    <t>2276430</t>
  </si>
  <si>
    <t>Шарнірна арка 300х100</t>
  </si>
  <si>
    <t>2277440</t>
  </si>
  <si>
    <t>Шарнірна арка 400х100</t>
  </si>
  <si>
    <t>2278440</t>
  </si>
  <si>
    <t>Шарнірна арка 500х100</t>
  </si>
  <si>
    <t>2279440</t>
  </si>
  <si>
    <t>Шарнірна арка 600х100</t>
  </si>
  <si>
    <t>1.3.13. Т-відвід горизонтальний</t>
  </si>
  <si>
    <t>1.3.13.1. Т-відвід горизонтальний Н=35 мм</t>
  </si>
  <si>
    <t>2323130</t>
  </si>
  <si>
    <t>Т-відвід горизонтальний 100х35</t>
  </si>
  <si>
    <t>2324130</t>
  </si>
  <si>
    <t>Т-відвід горизонтальний 150х35</t>
  </si>
  <si>
    <t>2325130</t>
  </si>
  <si>
    <t>Т-відвід горизонтальний 200х35</t>
  </si>
  <si>
    <t>2326130</t>
  </si>
  <si>
    <t>Т-відвід горизонтальний 300х35</t>
  </si>
  <si>
    <t>2321130</t>
  </si>
  <si>
    <t>Т-відвід горизонтальний 50х35</t>
  </si>
  <si>
    <t>2322130</t>
  </si>
  <si>
    <t>Т-відвід горизонтальний 80х35</t>
  </si>
  <si>
    <t>1.3.13.2. Т-відвід горизонтальний Н=50 мм</t>
  </si>
  <si>
    <t>2323230</t>
  </si>
  <si>
    <t>Т-відвід горизонтальний 100х50</t>
  </si>
  <si>
    <t>2324230</t>
  </si>
  <si>
    <t>Т-відвід горизонтальний 150х50</t>
  </si>
  <si>
    <t>2325230</t>
  </si>
  <si>
    <t>2326230</t>
  </si>
  <si>
    <t>2327230</t>
  </si>
  <si>
    <t>2328230</t>
  </si>
  <si>
    <t>Т-відвід горизонтальний 500х50</t>
  </si>
  <si>
    <t>2321230</t>
  </si>
  <si>
    <t>Т-відвід горизонтальний 50х50</t>
  </si>
  <si>
    <t>2329230</t>
  </si>
  <si>
    <t>Т-відвід горизонтальний 600х50</t>
  </si>
  <si>
    <t>1.3.13.3. Т-відвід горизонтальний Н=80 мм</t>
  </si>
  <si>
    <t>2323330</t>
  </si>
  <si>
    <t>Т-відвід горизонтальний 100х80</t>
  </si>
  <si>
    <t>2324330</t>
  </si>
  <si>
    <t>Т-відвід горизонтальний 150х80</t>
  </si>
  <si>
    <t>2325330</t>
  </si>
  <si>
    <t>Т-відвід горизонтальний 200х80</t>
  </si>
  <si>
    <t>2326330</t>
  </si>
  <si>
    <t>Т-відвід горизонтальний 300х80</t>
  </si>
  <si>
    <t>2327330</t>
  </si>
  <si>
    <t>Т-відвід горизонтальний 400х80</t>
  </si>
  <si>
    <t>2328330</t>
  </si>
  <si>
    <t>Т-відвід горизонтальний 500х80</t>
  </si>
  <si>
    <t>2329330</t>
  </si>
  <si>
    <t>Т-відвід горизонтальний 600х80</t>
  </si>
  <si>
    <t>2322330</t>
  </si>
  <si>
    <t>Т-відвід горизонтальний 80х80</t>
  </si>
  <si>
    <t>1.3.13.4. Т-відвід горизонтальний Н=100 мм</t>
  </si>
  <si>
    <t>2323430</t>
  </si>
  <si>
    <t>Т-відвід горизонтальний 100х100</t>
  </si>
  <si>
    <t>2324430</t>
  </si>
  <si>
    <t>Т-відвід горизонтальний 150х100</t>
  </si>
  <si>
    <t>2325430</t>
  </si>
  <si>
    <t>Т-відвід горизонтальний 200х100</t>
  </si>
  <si>
    <t>2326430</t>
  </si>
  <si>
    <t>Т-відвід горизонтальний 300х100</t>
  </si>
  <si>
    <t>2327430</t>
  </si>
  <si>
    <t>Т-відвід горизонтальний 400х100</t>
  </si>
  <si>
    <t>2328430</t>
  </si>
  <si>
    <t>Т-відвід горизонтальний 500х100</t>
  </si>
  <si>
    <t>2329430</t>
  </si>
  <si>
    <t>Т-відвід горизонтальний 600х100</t>
  </si>
  <si>
    <t>1.3.13.5. Кришка Т-відводу горизонтального</t>
  </si>
  <si>
    <t>2323031</t>
  </si>
  <si>
    <t>Кришка Т-відводу горизонтального 100</t>
  </si>
  <si>
    <t>2324031</t>
  </si>
  <si>
    <t>Кришка Т-відводу горизонтального 150</t>
  </si>
  <si>
    <t>2325031</t>
  </si>
  <si>
    <t>Кришка Т-відводу горизонтального 200</t>
  </si>
  <si>
    <t>2326031</t>
  </si>
  <si>
    <t>Кришка Т-відводу горизонтального 300</t>
  </si>
  <si>
    <t>2327031</t>
  </si>
  <si>
    <t>Кришка Т-відводу горизонтального 400</t>
  </si>
  <si>
    <t>2321031</t>
  </si>
  <si>
    <t>Кришка Т-відводу горизонтального 50</t>
  </si>
  <si>
    <t>2328031</t>
  </si>
  <si>
    <t>Кришка Т-відводу горизонтального 500</t>
  </si>
  <si>
    <t>2329031</t>
  </si>
  <si>
    <t>Кришка Т-відводу горизонтального 600</t>
  </si>
  <si>
    <t>2322031</t>
  </si>
  <si>
    <t>Кришка Т-відводу горизонтального 80</t>
  </si>
  <si>
    <t>1.3.14. Відгалужувач горизонтальний</t>
  </si>
  <si>
    <t>1.3.14.1. Відгалужувач горизонтальний Н=35 мм</t>
  </si>
  <si>
    <t>2343130</t>
  </si>
  <si>
    <t>Відгалужувач горизонтальний 100х35</t>
  </si>
  <si>
    <t>2344130</t>
  </si>
  <si>
    <t>Відгалужувач горизонтальний 150х35</t>
  </si>
  <si>
    <t>2345130</t>
  </si>
  <si>
    <t>Відгалужувач горизонтальний 200х35</t>
  </si>
  <si>
    <t>2346130</t>
  </si>
  <si>
    <t>Відгалужувач горизонтальний 300х35</t>
  </si>
  <si>
    <t>2341130</t>
  </si>
  <si>
    <t>Відгалужувач горизонтальний 50х35</t>
  </si>
  <si>
    <t>2342130</t>
  </si>
  <si>
    <t>Відгалужувач горизонтальний 80х35</t>
  </si>
  <si>
    <t>1.3.14.2. Відгалужувач горизонтальний Н=50 мм</t>
  </si>
  <si>
    <t>2343230</t>
  </si>
  <si>
    <t>2344230</t>
  </si>
  <si>
    <t>Відгалужувач горизонтальний 150х50</t>
  </si>
  <si>
    <t>2345230</t>
  </si>
  <si>
    <t>2346230</t>
  </si>
  <si>
    <t>2347230</t>
  </si>
  <si>
    <t>2348230</t>
  </si>
  <si>
    <t>Відгалужувач горизонтальний 500х50</t>
  </si>
  <si>
    <t>2341230</t>
  </si>
  <si>
    <t>2349230</t>
  </si>
  <si>
    <t>Відгалужувач горизонтальний 600х50</t>
  </si>
  <si>
    <t>1.3.14.3. Відгалужувач горизонтальний Н=80 мм</t>
  </si>
  <si>
    <t>2343330</t>
  </si>
  <si>
    <t>2344330</t>
  </si>
  <si>
    <t>Відгалужувач горизонтальний 150х80</t>
  </si>
  <si>
    <t>2345330</t>
  </si>
  <si>
    <t>2346330</t>
  </si>
  <si>
    <t>2347330</t>
  </si>
  <si>
    <t>Відгалужувач горизонтальний 400х80</t>
  </si>
  <si>
    <t>2348330</t>
  </si>
  <si>
    <t>Відгалужувач горизонтальний 500х80</t>
  </si>
  <si>
    <t>2349330</t>
  </si>
  <si>
    <t>Відгалужувач горизонтальний 600х80</t>
  </si>
  <si>
    <t>2342330</t>
  </si>
  <si>
    <t>Відгалужувач горизонтальний 80х80</t>
  </si>
  <si>
    <t>1.3.14.4. Відгалужувач горизонтальний Н=100 мм</t>
  </si>
  <si>
    <t>2343430</t>
  </si>
  <si>
    <t>Відгалужувач горизонтальний 100х100</t>
  </si>
  <si>
    <t>2344430</t>
  </si>
  <si>
    <t>Відгалужувач горизонтальний 150х100</t>
  </si>
  <si>
    <t>2345430</t>
  </si>
  <si>
    <t>2346430</t>
  </si>
  <si>
    <t>2347430</t>
  </si>
  <si>
    <t>2348430</t>
  </si>
  <si>
    <t>Відгалужувач горизонтальний 500х100</t>
  </si>
  <si>
    <t>2349430</t>
  </si>
  <si>
    <t>Відгалужувач горизонтальний 600х100</t>
  </si>
  <si>
    <t>1.3.14.5. Кришка відгалужувача горизонтального</t>
  </si>
  <si>
    <t>2343031</t>
  </si>
  <si>
    <t>Кришка відгалужувача горизонтального 100</t>
  </si>
  <si>
    <t>2344031</t>
  </si>
  <si>
    <t>Кришка відгалужувача горизонтального 150</t>
  </si>
  <si>
    <t>2345031</t>
  </si>
  <si>
    <t>Кришка відгалужувача горизонтального 200</t>
  </si>
  <si>
    <t>2346031</t>
  </si>
  <si>
    <t>Кришка відгалужувача горизонтального 300</t>
  </si>
  <si>
    <t>2347031</t>
  </si>
  <si>
    <t>Кришка відгалужувача горизонтального 400</t>
  </si>
  <si>
    <t>2341031</t>
  </si>
  <si>
    <t>Кришка відгалужувача горизонтального 50</t>
  </si>
  <si>
    <t>2348031</t>
  </si>
  <si>
    <t>Кришка відгалужувача горизонтального 500</t>
  </si>
  <si>
    <t>2349031</t>
  </si>
  <si>
    <t>Кришка відгалужувача горизонтального 600</t>
  </si>
  <si>
    <t>2342031</t>
  </si>
  <si>
    <t>Кришка відгалужувача горизонтального 80</t>
  </si>
  <si>
    <t>1.3.15. Т-відвід вертикальний</t>
  </si>
  <si>
    <t>1.3.15.1. Т-відвід вертикальний Н=35 мм</t>
  </si>
  <si>
    <t>2333130</t>
  </si>
  <si>
    <t>Т-відвід вертикальний 100х35</t>
  </si>
  <si>
    <t>2334130</t>
  </si>
  <si>
    <t>Т-відвід вертикальний 150х35</t>
  </si>
  <si>
    <t>2335130</t>
  </si>
  <si>
    <t>Т-відвід вертикальний 200х35</t>
  </si>
  <si>
    <t>2336130</t>
  </si>
  <si>
    <t>Т-відвід вертикальний 300х35</t>
  </si>
  <si>
    <t>2331130</t>
  </si>
  <si>
    <t>Т-відвід вертикальний 50х35</t>
  </si>
  <si>
    <t>2332130</t>
  </si>
  <si>
    <t>Т-відвід вертикальний 80х35</t>
  </si>
  <si>
    <t>1.3.15.2. Т-відвід вертикальний Н=50 мм</t>
  </si>
  <si>
    <t>2333230</t>
  </si>
  <si>
    <t>Т-відвід вертикальний 100х50</t>
  </si>
  <si>
    <t>2334230</t>
  </si>
  <si>
    <t>Т-відвід вертикальний 150х50</t>
  </si>
  <si>
    <t>2335230</t>
  </si>
  <si>
    <t>2336230</t>
  </si>
  <si>
    <t>2337230</t>
  </si>
  <si>
    <t>2338230</t>
  </si>
  <si>
    <t>Т-відвід вертикальний 500х50</t>
  </si>
  <si>
    <t>2331230</t>
  </si>
  <si>
    <t>Т-відвід вертикальний 50х50</t>
  </si>
  <si>
    <t>2339230</t>
  </si>
  <si>
    <t>Т-відвід вертикальний 600х50</t>
  </si>
  <si>
    <t>1.3.15.3. Т-відвід вертикальний Н=80 мм</t>
  </si>
  <si>
    <t>2333330</t>
  </si>
  <si>
    <t>Т-відвід вертикальний 100х80</t>
  </si>
  <si>
    <t>2334330</t>
  </si>
  <si>
    <t>Т-відвід вертикальний 150х80</t>
  </si>
  <si>
    <t>2335330</t>
  </si>
  <si>
    <t>Т-відвід вертикальний 200х80</t>
  </si>
  <si>
    <t>2336330</t>
  </si>
  <si>
    <t>Т-відвід вертикальний 300х80</t>
  </si>
  <si>
    <t>2337330</t>
  </si>
  <si>
    <t>Т-відвід вертикальний 400х80</t>
  </si>
  <si>
    <t>2338330</t>
  </si>
  <si>
    <t>Т-відвід вертикальний 500х80</t>
  </si>
  <si>
    <t>2339330</t>
  </si>
  <si>
    <t>Т-відвід вертикальний 600х80</t>
  </si>
  <si>
    <t>2332330</t>
  </si>
  <si>
    <t>Т-відвід вертикальний 80х80</t>
  </si>
  <si>
    <t>1.3.15.4. Т-відвід вертикальний Н=100 мм</t>
  </si>
  <si>
    <t>2333430</t>
  </si>
  <si>
    <t>Т-відвід вертикальний 100х100</t>
  </si>
  <si>
    <t>2334430</t>
  </si>
  <si>
    <t>Т-відвід вертикальний 150х100</t>
  </si>
  <si>
    <t>2335430</t>
  </si>
  <si>
    <t>Т-відвід вертикальний 200х100</t>
  </si>
  <si>
    <t>2336430</t>
  </si>
  <si>
    <t>Т-відвід вертикальний 300х100</t>
  </si>
  <si>
    <t>2337430</t>
  </si>
  <si>
    <t>Т-відвід вертикальний 400х100</t>
  </si>
  <si>
    <t>2338430</t>
  </si>
  <si>
    <t>Т-відвід вертикальний 500х100</t>
  </si>
  <si>
    <t>2339430</t>
  </si>
  <si>
    <t>Т-відвід вертикальний 600х100</t>
  </si>
  <si>
    <t>1.3.15.5. Кришка Т-відводу вертикального Н=35 мм</t>
  </si>
  <si>
    <t>2333131</t>
  </si>
  <si>
    <t>Кришка Т-відводу вертикального 100х35</t>
  </si>
  <si>
    <t>2334131</t>
  </si>
  <si>
    <t>Кришка Т-відводу вертикального 150х35</t>
  </si>
  <si>
    <t>2335131</t>
  </si>
  <si>
    <t>Кришка Т-відводу вертикального 200х35</t>
  </si>
  <si>
    <t>2336131</t>
  </si>
  <si>
    <t>Кришка Т-відводу вертикального 300х35</t>
  </si>
  <si>
    <t>2331131</t>
  </si>
  <si>
    <t>Кришка Т-відводу вертикального 50х35</t>
  </si>
  <si>
    <t>2332131</t>
  </si>
  <si>
    <t>Кришка Т-відводу вертикального 80х35</t>
  </si>
  <si>
    <t>1.3.15.6. Кришка Т-відводу вертикального Н=50 мм</t>
  </si>
  <si>
    <t>2333231</t>
  </si>
  <si>
    <t>Кришка Т-відводу вертикального 100х50</t>
  </si>
  <si>
    <t>2334231</t>
  </si>
  <si>
    <t>Кришка Т-відводу вертикального 150х50</t>
  </si>
  <si>
    <t>2335231</t>
  </si>
  <si>
    <t>Кришка Т-відводу вертикального 200х50</t>
  </si>
  <si>
    <t>2336231</t>
  </si>
  <si>
    <t>Кришка Т-відводу вертикального 300х50</t>
  </si>
  <si>
    <t>2337231</t>
  </si>
  <si>
    <t>Кришка Т-відводу вертикального 400х50</t>
  </si>
  <si>
    <t>2338231</t>
  </si>
  <si>
    <t>Кришка Т-відводу вертикального 500х50</t>
  </si>
  <si>
    <t>2331231</t>
  </si>
  <si>
    <t>Кришка Т-відводу вертикального 50х50</t>
  </si>
  <si>
    <t>2339231</t>
  </si>
  <si>
    <t>Кришка Т-відводу вертикального 600х50</t>
  </si>
  <si>
    <t>1.3.15.7. Кришка Т-відводу вертикального Н=80 мм</t>
  </si>
  <si>
    <t>2333331</t>
  </si>
  <si>
    <t>Кришка Т-відводу вертикального 100х80</t>
  </si>
  <si>
    <t>2334331</t>
  </si>
  <si>
    <t>Кришка Т-відводу вертикального 150х80</t>
  </si>
  <si>
    <t>2335331</t>
  </si>
  <si>
    <t>Кришка Т-відводу вертикального 200х80</t>
  </si>
  <si>
    <t>2336331</t>
  </si>
  <si>
    <t>Кришка Т-відводу вертикального 300х80</t>
  </si>
  <si>
    <t>2337331</t>
  </si>
  <si>
    <t>Кришка Т-відводу вертикального 400х80</t>
  </si>
  <si>
    <t>2338331</t>
  </si>
  <si>
    <t>Кришка Т-відводу вертикального 500х80</t>
  </si>
  <si>
    <t>2339331</t>
  </si>
  <si>
    <t>Кришка Т-відводу вертикального 600х80</t>
  </si>
  <si>
    <t>2332331</t>
  </si>
  <si>
    <t>Кришка Т-відводу вертикального 80х80</t>
  </si>
  <si>
    <t>1.3.15.8. Кришка Т-відводу вертикального Н=100 мм</t>
  </si>
  <si>
    <t>2333431</t>
  </si>
  <si>
    <t>Кришка Т-відводу вертикального 100х100</t>
  </si>
  <si>
    <t>2334431</t>
  </si>
  <si>
    <t>Кришка Т-відводу вертикального 150х100</t>
  </si>
  <si>
    <t>2335431</t>
  </si>
  <si>
    <t>Кришка Т-відводу вертикального 200х100</t>
  </si>
  <si>
    <t>2336431</t>
  </si>
  <si>
    <t>Кришка Т-відводу вертикального 300х100</t>
  </si>
  <si>
    <t>2337431</t>
  </si>
  <si>
    <t>Кришка Т-відводу вертикального 400х100</t>
  </si>
  <si>
    <t>2338431</t>
  </si>
  <si>
    <t>Кришка Т-відводу вертикального 500х100</t>
  </si>
  <si>
    <t>2339431</t>
  </si>
  <si>
    <t>Кришка Т-відводу вертикального 600х100</t>
  </si>
  <si>
    <t>1.3.16. Т-відвід вертикальний з разворотом</t>
  </si>
  <si>
    <t>1.3.16.1. Т-відвід вертикальний з разворотом Н=35 мм</t>
  </si>
  <si>
    <t>2353133</t>
  </si>
  <si>
    <t>Т-відвід вертикальний з разворотом 100/100х35</t>
  </si>
  <si>
    <t>2354134</t>
  </si>
  <si>
    <t>Т-відвід вертикальний з разворотом 150/150х35</t>
  </si>
  <si>
    <t>2355133</t>
  </si>
  <si>
    <t>Т-відвід вертикальний з разворотом 200/100х35</t>
  </si>
  <si>
    <t>2355134</t>
  </si>
  <si>
    <t>Т-відвід вертикальний з разворотом 200/150х35</t>
  </si>
  <si>
    <t>2356135</t>
  </si>
  <si>
    <t>Т-відвід вертикальний з разворотом 300/200х35</t>
  </si>
  <si>
    <t>2351131</t>
  </si>
  <si>
    <t>Т-відвід вертикальний з разворотом 50/50х35</t>
  </si>
  <si>
    <t>2352132</t>
  </si>
  <si>
    <t>Т-відвід вертикальний з разворотом 80/80х35</t>
  </si>
  <si>
    <t>1.3.16.2. Т-відвід вертикальний з разворотом Н=50 мм</t>
  </si>
  <si>
    <t>2353233</t>
  </si>
  <si>
    <t>Т-відвід вертикальний з разворотом 100/100х50</t>
  </si>
  <si>
    <t>2354234</t>
  </si>
  <si>
    <t>Т-відвід вертикальний з разворотом 150/150х50</t>
  </si>
  <si>
    <t>2355233</t>
  </si>
  <si>
    <t>Т-відвід вертикальний з разворотом 200/100х50</t>
  </si>
  <si>
    <t>2355234</t>
  </si>
  <si>
    <t>Т-відвід вертикальний з разворотом 200/150х50</t>
  </si>
  <si>
    <t>2356235</t>
  </si>
  <si>
    <t>Т-відвід вертикальний з разворотом 300/200х50</t>
  </si>
  <si>
    <t>2357236</t>
  </si>
  <si>
    <t>Т-відвід вертикальний з разворотом 400/300х50</t>
  </si>
  <si>
    <t>2351231</t>
  </si>
  <si>
    <t>Т-відвід вертикальний з разворотом 50/50х50</t>
  </si>
  <si>
    <t>2358236</t>
  </si>
  <si>
    <t>Т-відвід вертикальний з разворотом 500/300х50</t>
  </si>
  <si>
    <t>2359237</t>
  </si>
  <si>
    <t>Т-відвід вертикальний з разворотом 600/400х50</t>
  </si>
  <si>
    <t>1.3.16.3. Т-відвід вертикальний з разворотом Н=80 мм</t>
  </si>
  <si>
    <t>2353333</t>
  </si>
  <si>
    <t>Т-відвід вертикальний з разворотом 100/100х80</t>
  </si>
  <si>
    <t>2354334</t>
  </si>
  <si>
    <t>Т-відвід вертикальний з разворотом 150/150х80</t>
  </si>
  <si>
    <t>2355333</t>
  </si>
  <si>
    <t>Т-відвід вертикальний з разворотом 200/100х80</t>
  </si>
  <si>
    <t>2355334</t>
  </si>
  <si>
    <t>Т-відвід вертикальний з разворотом 200/150х80</t>
  </si>
  <si>
    <t>2356335</t>
  </si>
  <si>
    <t>Т-відвід вертикальний з разворотом 300/200х80</t>
  </si>
  <si>
    <t>2357336</t>
  </si>
  <si>
    <t>Т-відвід вертикальний з разворотом 400/300х80</t>
  </si>
  <si>
    <t>2358336</t>
  </si>
  <si>
    <t>Т-відвід вертикальний з разворотом 500/300х80</t>
  </si>
  <si>
    <t>2359337</t>
  </si>
  <si>
    <t>Т-відвід вертикальний з разворотом 600/400х80</t>
  </si>
  <si>
    <t>2352332</t>
  </si>
  <si>
    <t>Т-відвід вертикальний з разворотом 80/80х80</t>
  </si>
  <si>
    <t>1.3.16.4. Т-відвід вертикальний з разворотом Н=100 мм</t>
  </si>
  <si>
    <t>2353433</t>
  </si>
  <si>
    <t>Т-відвід вертикальний з разворотом 100/100х100</t>
  </si>
  <si>
    <t>2354434</t>
  </si>
  <si>
    <t>Т-відвід вертикальний з разворотом 150/150х100</t>
  </si>
  <si>
    <t>2355433</t>
  </si>
  <si>
    <t>Т-відвід вертикальний з разворотом 200/100х100</t>
  </si>
  <si>
    <t>2355434</t>
  </si>
  <si>
    <t>Т-відвід вертикальний з разворотом 200/150х100</t>
  </si>
  <si>
    <t>2356435</t>
  </si>
  <si>
    <t>Т-відвід вертикальний з разворотом 300/200х100</t>
  </si>
  <si>
    <t>2357436</t>
  </si>
  <si>
    <t>Т-відвід вертикальний з разворотом 400/300х100</t>
  </si>
  <si>
    <t>2358436</t>
  </si>
  <si>
    <t>Т-відвід вертикальний з разворотом 500/300х100</t>
  </si>
  <si>
    <t>2359437</t>
  </si>
  <si>
    <t>Т-відвід вертикальний з разворотом 600/400х100</t>
  </si>
  <si>
    <t>1.3.16.5. Кришка до Т-відводу вертикального з розворотом</t>
  </si>
  <si>
    <t>2353033</t>
  </si>
  <si>
    <t>Кришка Т-відводу вертикального з розворотом 100/100</t>
  </si>
  <si>
    <t>2354034</t>
  </si>
  <si>
    <t>Кришка Т-відводу вертикального з розворотом 150/150</t>
  </si>
  <si>
    <t>2355033</t>
  </si>
  <si>
    <t>Кришка Т-відводу вертикального з розворотом 200/100</t>
  </si>
  <si>
    <t>2355034</t>
  </si>
  <si>
    <t>Кришка Т-відводу вертикального з розворотом 200/150</t>
  </si>
  <si>
    <t>2356035</t>
  </si>
  <si>
    <t>Кришка Т-відводу вертикального з розворотом 300/200</t>
  </si>
  <si>
    <t>2357036</t>
  </si>
  <si>
    <t>Кришка Т-відводу вертикального з розворотом 400/300</t>
  </si>
  <si>
    <t>2351031</t>
  </si>
  <si>
    <t>Кришка Т-відводу вертикального з розворотом 50/50</t>
  </si>
  <si>
    <t>2358036</t>
  </si>
  <si>
    <t>Кришка Т-відводу вертикального з розворотом 500/300</t>
  </si>
  <si>
    <t>2359037</t>
  </si>
  <si>
    <t>Кришка Т-відводу вертикального з розворотом 600/400</t>
  </si>
  <si>
    <t>2352032</t>
  </si>
  <si>
    <t>Кришка Т-відводу вертикального з розворотом 80/80</t>
  </si>
  <si>
    <t>1.3.17. Пластина шарнірного з'єднувача</t>
  </si>
  <si>
    <t>2530450</t>
  </si>
  <si>
    <t>Пластина шарнірного з'єднувача 100</t>
  </si>
  <si>
    <t>2530150</t>
  </si>
  <si>
    <t>Пластина шарнірного з'єднувача 35</t>
  </si>
  <si>
    <t>2530250</t>
  </si>
  <si>
    <t>Пластина шарнірного з'єднувача 50</t>
  </si>
  <si>
    <t>2530350</t>
  </si>
  <si>
    <t>Пластина шарнірного з'єднувача 80</t>
  </si>
  <si>
    <t>1.3.18. Пластина з'єднувальна</t>
  </si>
  <si>
    <t>2510440</t>
  </si>
  <si>
    <t>Пластина з'єднувальна 100</t>
  </si>
  <si>
    <t>2510140</t>
  </si>
  <si>
    <t>Пластина з'єднувальна 35</t>
  </si>
  <si>
    <t>2510240</t>
  </si>
  <si>
    <t>Пластина з'єднувальна 50</t>
  </si>
  <si>
    <t>2510340</t>
  </si>
  <si>
    <t>Пластина з'єднувальна 80</t>
  </si>
  <si>
    <t>2514440</t>
  </si>
  <si>
    <t>Пластина з'єднувальна універсальна 100</t>
  </si>
  <si>
    <t>2514240</t>
  </si>
  <si>
    <t>Пластина з'єднувальна універсальна 50</t>
  </si>
  <si>
    <t>2514340</t>
  </si>
  <si>
    <t>Пластина з'єднувальна універсальна 80</t>
  </si>
  <si>
    <t>1.3.19. Пластина захисна</t>
  </si>
  <si>
    <t>2543040</t>
  </si>
  <si>
    <t>Пластина захисна 100</t>
  </si>
  <si>
    <t>2544040</t>
  </si>
  <si>
    <t>Пластина захисна 150</t>
  </si>
  <si>
    <t>2545040</t>
  </si>
  <si>
    <t>Пластина захисна 200</t>
  </si>
  <si>
    <t>2546040</t>
  </si>
  <si>
    <t>Пластина захисна 300</t>
  </si>
  <si>
    <t>2541040</t>
  </si>
  <si>
    <t>Пластина захисна 50</t>
  </si>
  <si>
    <t>2547040</t>
  </si>
  <si>
    <t>Пластина захисна 500</t>
  </si>
  <si>
    <t>2542040</t>
  </si>
  <si>
    <t>Пластина захисна 80</t>
  </si>
  <si>
    <t>1.3.20. Пластина звужуюча лівостороння</t>
  </si>
  <si>
    <t>1.3.20.1. Пластина звужуюча лівостороння Н=35 мм</t>
  </si>
  <si>
    <t>2410641</t>
  </si>
  <si>
    <t>Пластина звужуюча лівостороння 100х35</t>
  </si>
  <si>
    <t>2410741</t>
  </si>
  <si>
    <t>Пластина звужуюча лівостороння 110х35</t>
  </si>
  <si>
    <t>2410841</t>
  </si>
  <si>
    <t>Пластина звужуюча лівостороння 120х35</t>
  </si>
  <si>
    <t>2410941</t>
  </si>
  <si>
    <t>Пластина звужуюча лівостороння 125х35</t>
  </si>
  <si>
    <t>2411041</t>
  </si>
  <si>
    <t>Пластина звужуюча лівостороння 150х35</t>
  </si>
  <si>
    <t>2411241</t>
  </si>
  <si>
    <t>Пластина звужуюча лівостороння 200х35</t>
  </si>
  <si>
    <t>2411341</t>
  </si>
  <si>
    <t>Пластина звужуюча лівостороння 220х35</t>
  </si>
  <si>
    <t>2411541</t>
  </si>
  <si>
    <t>Пластина звужуюча лівостороння 250х35</t>
  </si>
  <si>
    <t>2410141</t>
  </si>
  <si>
    <t>Пластина звужуюча лівостороння 35х35</t>
  </si>
  <si>
    <t>2410241</t>
  </si>
  <si>
    <t>Пластина звужуюча лівостороння 50х35</t>
  </si>
  <si>
    <t>2410341</t>
  </si>
  <si>
    <t>Пластина звужуюча лівостороння 60х35</t>
  </si>
  <si>
    <t>2410441</t>
  </si>
  <si>
    <t>Пластина звужуюча лівостороння 70х35</t>
  </si>
  <si>
    <t>2410541</t>
  </si>
  <si>
    <t>Пластина звужуюча лівостороння 75х35</t>
  </si>
  <si>
    <t>1.3.20.2. Пластина звужуюча лівостороння Н=50 мм</t>
  </si>
  <si>
    <t>2410642</t>
  </si>
  <si>
    <t>Пластина звужуюча лівостороння 100х50</t>
  </si>
  <si>
    <t>2410942</t>
  </si>
  <si>
    <t>Пластина звужуюча лівостороння 125х50</t>
  </si>
  <si>
    <t>2411042</t>
  </si>
  <si>
    <t>Пластина звужуюча лівостороння 150х50</t>
  </si>
  <si>
    <t>2411142</t>
  </si>
  <si>
    <t>Пластина звужуюча лівостороння 175х50</t>
  </si>
  <si>
    <t>2411242</t>
  </si>
  <si>
    <t>Пластина звужуюча лівостороння 200х50</t>
  </si>
  <si>
    <t>2411442</t>
  </si>
  <si>
    <t>Пластина звужуюча лівостороння 225х50</t>
  </si>
  <si>
    <t>2411542</t>
  </si>
  <si>
    <t>Пластина звужуюча лівостороння 250х50</t>
  </si>
  <si>
    <t>2411642</t>
  </si>
  <si>
    <t>Пластина звужуюча лівостороння 300х50</t>
  </si>
  <si>
    <t>2411742</t>
  </si>
  <si>
    <t>Пластина звужуюча лівостороння 350х50</t>
  </si>
  <si>
    <t>2411842</t>
  </si>
  <si>
    <t>Пластина звужуюча лівостороння 400х50</t>
  </si>
  <si>
    <t>2411942</t>
  </si>
  <si>
    <t>Пластина звужуюча лівостороння 450х50</t>
  </si>
  <si>
    <t>2410242</t>
  </si>
  <si>
    <t>Пластина звужуюча лівостороння 50х50</t>
  </si>
  <si>
    <t>2410542</t>
  </si>
  <si>
    <t>Пластина звужуюча лівостороння 75х50</t>
  </si>
  <si>
    <t>1.3.20.3. Пластина звужуюча лівостороння Н=80 мм</t>
  </si>
  <si>
    <t>2410643</t>
  </si>
  <si>
    <t>Пластина звужуюча лівостороння 100х80</t>
  </si>
  <si>
    <t>2410843</t>
  </si>
  <si>
    <t>Пластина звужуюча лівостороння 120х80</t>
  </si>
  <si>
    <t>2410943</t>
  </si>
  <si>
    <t>Пластина звужуюча лівостороння 125х80</t>
  </si>
  <si>
    <t>2411043</t>
  </si>
  <si>
    <t>Пластина звужуюча лівостороння 150х80</t>
  </si>
  <si>
    <t>2411143</t>
  </si>
  <si>
    <t>Пластина звужуюча лівостороння 175х80</t>
  </si>
  <si>
    <t>2411243</t>
  </si>
  <si>
    <t>Пластина звужуюча лівостороння 200х80</t>
  </si>
  <si>
    <t>2411443</t>
  </si>
  <si>
    <t>Пластина звужуюча лівостороння 225х80</t>
  </si>
  <si>
    <t>2411543</t>
  </si>
  <si>
    <t>Пластина звужуюча лівостороння 250х80</t>
  </si>
  <si>
    <t>2411643</t>
  </si>
  <si>
    <t>Пластина звужуюча лівостороння 300х80</t>
  </si>
  <si>
    <t>2411743</t>
  </si>
  <si>
    <t>Пластина звужуюча лівостороння 350х80</t>
  </si>
  <si>
    <t>2410143</t>
  </si>
  <si>
    <t>Пластина звужуюча лівостороння 35х80</t>
  </si>
  <si>
    <t>2411843</t>
  </si>
  <si>
    <t>Пластина звужуюча лівостороння 400х80</t>
  </si>
  <si>
    <t>2411943</t>
  </si>
  <si>
    <t>Пластина звужуюча лівостороння 450х80</t>
  </si>
  <si>
    <t>2410243</t>
  </si>
  <si>
    <t>Пластина звужуюча лівостороння 50х80</t>
  </si>
  <si>
    <t>2410343</t>
  </si>
  <si>
    <t>Пластина звужуюча лівостороння 60х80</t>
  </si>
  <si>
    <t>2410443</t>
  </si>
  <si>
    <t>Пластина звужуюча лівостороння 70х80</t>
  </si>
  <si>
    <t>2410543</t>
  </si>
  <si>
    <t>Пластина звужуюча лівостороння 75х80</t>
  </si>
  <si>
    <t>1.3.20.4. Пластина звужуюча лівостороння Н=100 мм</t>
  </si>
  <si>
    <t>2410644</t>
  </si>
  <si>
    <t>Пластина звужуюча лівостороння 100х100</t>
  </si>
  <si>
    <t>2410944</t>
  </si>
  <si>
    <t>Пластина звужуюча лівостороння 125х100</t>
  </si>
  <si>
    <t>2411044</t>
  </si>
  <si>
    <t>Пластина звужуюча лівостороння 150х100</t>
  </si>
  <si>
    <t>2411144</t>
  </si>
  <si>
    <t>Пластина звужуюча лівостороння 175х100</t>
  </si>
  <si>
    <t>2411244</t>
  </si>
  <si>
    <t>Пластина звужуюча лівостороння 200х100</t>
  </si>
  <si>
    <t>2411444</t>
  </si>
  <si>
    <t>Пластина звужуюча лівостороння 225х100</t>
  </si>
  <si>
    <t>2411544</t>
  </si>
  <si>
    <t>Пластина звужуюча лівостороння 250х100</t>
  </si>
  <si>
    <t>2411644</t>
  </si>
  <si>
    <t>Пластина звужуюча лівостороння 300х100</t>
  </si>
  <si>
    <t>2411744</t>
  </si>
  <si>
    <t>Пластина звужуюча лівостороння 350х100</t>
  </si>
  <si>
    <t>2411844</t>
  </si>
  <si>
    <t>Пластина звужуюча лівостороння 400х100</t>
  </si>
  <si>
    <t>2411944</t>
  </si>
  <si>
    <t>Пластина звужуюча лівостороння 450х100</t>
  </si>
  <si>
    <t>2410244</t>
  </si>
  <si>
    <t>Пластина звужуюча лівостороння 50х100</t>
  </si>
  <si>
    <t>2410544</t>
  </si>
  <si>
    <t>Пластина звужуюча лівостороння 75х100</t>
  </si>
  <si>
    <t>1.3.21. Пластина звужуюча правостороння</t>
  </si>
  <si>
    <t>1.3.21.1. Пластина звужуюча правостороння Н=35 мм</t>
  </si>
  <si>
    <t>2420641</t>
  </si>
  <si>
    <t>Пластина звужуюча правостороння 100х35</t>
  </si>
  <si>
    <t>2420741</t>
  </si>
  <si>
    <t>Пластина звужуюча правостороння 110х35</t>
  </si>
  <si>
    <t>2420841</t>
  </si>
  <si>
    <t>Пластина звужуюча правостороння 120х35</t>
  </si>
  <si>
    <t>2420941</t>
  </si>
  <si>
    <t>Пластина звужуюча правостороння 125х35</t>
  </si>
  <si>
    <t>2421041</t>
  </si>
  <si>
    <t>Пластина звужуюча правостороння 150х35</t>
  </si>
  <si>
    <t>2421241</t>
  </si>
  <si>
    <t>Пластина звужуюча правостороння 200х35</t>
  </si>
  <si>
    <t>2421341</t>
  </si>
  <si>
    <t>Пластина звужуюча правостороння 220х35</t>
  </si>
  <si>
    <t>2421541</t>
  </si>
  <si>
    <t>Пластина звужуюча правостороння 250х35</t>
  </si>
  <si>
    <t>2420141</t>
  </si>
  <si>
    <t>Пластина звужуюча правостороння 35х35</t>
  </si>
  <si>
    <t>2420241</t>
  </si>
  <si>
    <t>Пластина звужуюча правостороння 50х35</t>
  </si>
  <si>
    <t>2420341</t>
  </si>
  <si>
    <t>Пластина звужуюча правостороння 60х35</t>
  </si>
  <si>
    <t>2420441</t>
  </si>
  <si>
    <t>Пластина звужуюча правостороння 70х35</t>
  </si>
  <si>
    <t>2420541</t>
  </si>
  <si>
    <t>Пластина звужуюча правостороння 75х35</t>
  </si>
  <si>
    <t>1.3.21.2. Пластина звужуюча правостороння Н=50 мм</t>
  </si>
  <si>
    <t>2420642</t>
  </si>
  <si>
    <t>Пластина звужуюча правостороння 100х50</t>
  </si>
  <si>
    <t>2420942</t>
  </si>
  <si>
    <t>Пластина звужуюча правостороння 125х50</t>
  </si>
  <si>
    <t>2421042</t>
  </si>
  <si>
    <t>Пластина звужуюча правостороння 150х50</t>
  </si>
  <si>
    <t>2421142</t>
  </si>
  <si>
    <t>Пластина звужуюча правостороння 175х50</t>
  </si>
  <si>
    <t>2421242</t>
  </si>
  <si>
    <t>Пластина звужуюча правостороння 200х50</t>
  </si>
  <si>
    <t>2421442</t>
  </si>
  <si>
    <t>Пластина звужуюча правостороння 225х50</t>
  </si>
  <si>
    <t>2421542</t>
  </si>
  <si>
    <t>Пластина звужуюча правостороння 250х50</t>
  </si>
  <si>
    <t>2421642</t>
  </si>
  <si>
    <t>Пластина звужуюча правостороння 300х50</t>
  </si>
  <si>
    <t>2421742</t>
  </si>
  <si>
    <t>Пластина звужуюча правостороння 350х50</t>
  </si>
  <si>
    <t>2421842</t>
  </si>
  <si>
    <t>Пластина звужуюча правостороння 400х50</t>
  </si>
  <si>
    <t>2421942</t>
  </si>
  <si>
    <t>Пластина звужуюча правостороння 450х50</t>
  </si>
  <si>
    <t>2420242</t>
  </si>
  <si>
    <t>Пластина звужуюча правостороння 50х50</t>
  </si>
  <si>
    <t>2420542</t>
  </si>
  <si>
    <t>Пластина звужуюча правостороння 75х50</t>
  </si>
  <si>
    <t>1.3.21.3. Пластина звужуюча правостороння Н=80 мм</t>
  </si>
  <si>
    <t>2420643</t>
  </si>
  <si>
    <t>Пластина звужуюча правостороння 100х80</t>
  </si>
  <si>
    <t>2420843</t>
  </si>
  <si>
    <t>Пластина звужуюча правостороння 120х80</t>
  </si>
  <si>
    <t>2420943</t>
  </si>
  <si>
    <t>Пластина звужуюча правостороння 125х80</t>
  </si>
  <si>
    <t>2421043</t>
  </si>
  <si>
    <t>Пластина звужуюча правостороння 150х80</t>
  </si>
  <si>
    <t>2421143</t>
  </si>
  <si>
    <t>Пластина звужуюча правостороння 175х80</t>
  </si>
  <si>
    <t>2421243</t>
  </si>
  <si>
    <t>Пластина звужуюча правостороння 200х80</t>
  </si>
  <si>
    <t>2421443</t>
  </si>
  <si>
    <t>Пластина звужуюча правостороння 225х80</t>
  </si>
  <si>
    <t>2421543</t>
  </si>
  <si>
    <t>Пластина звужуюча правостороння 250х80</t>
  </si>
  <si>
    <t>2421643</t>
  </si>
  <si>
    <t>Пластина звужуюча правостороння 300х80</t>
  </si>
  <si>
    <t>2421743</t>
  </si>
  <si>
    <t>Пластина звужуюча правостороння 350х80</t>
  </si>
  <si>
    <t>2420143</t>
  </si>
  <si>
    <t>Пластина звужуюча правостороння 35х80</t>
  </si>
  <si>
    <t>2421843</t>
  </si>
  <si>
    <t>Пластина звужуюча правостороння 400х80</t>
  </si>
  <si>
    <t>2421943</t>
  </si>
  <si>
    <t>Пластина звужуюча правостороння 450х80</t>
  </si>
  <si>
    <t>2420243</t>
  </si>
  <si>
    <t>Пластина звужуюча правостороння 50х80</t>
  </si>
  <si>
    <t>2420343</t>
  </si>
  <si>
    <t>Пластина звужуюча правостороння 60х80</t>
  </si>
  <si>
    <t>2420443</t>
  </si>
  <si>
    <t>Пластина звужуюча правостороння 70х80</t>
  </si>
  <si>
    <t>2420543</t>
  </si>
  <si>
    <t>Пластина звужуюча правостороння 75х80</t>
  </si>
  <si>
    <t>1.3.21.4. Пластина звужуюча правостороння Н=100 мм</t>
  </si>
  <si>
    <t>2420644</t>
  </si>
  <si>
    <t>Пластина звужуюча правостороння 100х100</t>
  </si>
  <si>
    <t>2420944</t>
  </si>
  <si>
    <t>Пластина звужуюча правостороння 125х100</t>
  </si>
  <si>
    <t>2421044</t>
  </si>
  <si>
    <t>Пластина звужуюча правостороння 150х100</t>
  </si>
  <si>
    <t>2421144</t>
  </si>
  <si>
    <t>Пластина звужуюча правостороння 175х100</t>
  </si>
  <si>
    <t>2421244</t>
  </si>
  <si>
    <t>Пластина звужуюча правостороння 200х100</t>
  </si>
  <si>
    <t>2421444</t>
  </si>
  <si>
    <t>Пластина звужуюча правостороння 225х100</t>
  </si>
  <si>
    <t>2421544</t>
  </si>
  <si>
    <t>Пластина звужуюча правостороння 250х100</t>
  </si>
  <si>
    <t>2421644</t>
  </si>
  <si>
    <t>Пластина звужуюча правостороння 300х100</t>
  </si>
  <si>
    <t>2421744</t>
  </si>
  <si>
    <t>Пластина звужуюча правостороння 350х100</t>
  </si>
  <si>
    <t>2421844</t>
  </si>
  <si>
    <t>Пластина звужуюча правостороння 400х100</t>
  </si>
  <si>
    <t>2421944</t>
  </si>
  <si>
    <t>Пластина звужуюча правостороння 450х100</t>
  </si>
  <si>
    <t>2420244</t>
  </si>
  <si>
    <t>Пластина звужуюча правостороння 50х100</t>
  </si>
  <si>
    <t>2420544</t>
  </si>
  <si>
    <t>Пластина звужуюча правостороння 75х100</t>
  </si>
  <si>
    <t>1.4. Перегородка для лотка</t>
  </si>
  <si>
    <t>2520430</t>
  </si>
  <si>
    <t>Перегородка 100</t>
  </si>
  <si>
    <t>2520130</t>
  </si>
  <si>
    <t>Перегородка 35</t>
  </si>
  <si>
    <t>2520230</t>
  </si>
  <si>
    <t>Перегородка 50</t>
  </si>
  <si>
    <t>2520330</t>
  </si>
  <si>
    <t>Перегородка 80</t>
  </si>
  <si>
    <t>2. Лотки драбинного типу</t>
  </si>
  <si>
    <t>2.1. Лоток драбинного типу універсальний</t>
  </si>
  <si>
    <t>2.1.1. Лоток драбинного типу універсальний Standard SLCU Н 50 мм</t>
  </si>
  <si>
    <t>3123250</t>
  </si>
  <si>
    <t>Лоток драбинного типу SLCU 100х50</t>
  </si>
  <si>
    <t>3125250</t>
  </si>
  <si>
    <t>Лоток драбинного типу SLCU 200х50</t>
  </si>
  <si>
    <t>3126250</t>
  </si>
  <si>
    <t>Лоток драбинного типу SLCU 300х50</t>
  </si>
  <si>
    <t>3127250</t>
  </si>
  <si>
    <t>Лоток драбинного типу SLCU 400х50</t>
  </si>
  <si>
    <t>3128250</t>
  </si>
  <si>
    <t>Лоток драбинного типу SLCU 500х50</t>
  </si>
  <si>
    <t>3129250</t>
  </si>
  <si>
    <t>Лоток драбинного типу SLCU 600х50</t>
  </si>
  <si>
    <t>2.1.2. Лоток драбинного типу універсальний Standard SLCU Н 80 мм</t>
  </si>
  <si>
    <t>3123350</t>
  </si>
  <si>
    <t>Лоток драбинного типу SLCU 100х80</t>
  </si>
  <si>
    <t>3125350</t>
  </si>
  <si>
    <t>Лоток драбинного типу SLCU 200х80</t>
  </si>
  <si>
    <t>3126350</t>
  </si>
  <si>
    <t>Лоток драбинного типу SLCU 300х80</t>
  </si>
  <si>
    <t>3127350</t>
  </si>
  <si>
    <t>Лоток драбинного типу SLCU 400х80</t>
  </si>
  <si>
    <t>3128350</t>
  </si>
  <si>
    <t>Лоток драбинного типу SLCU 500х80</t>
  </si>
  <si>
    <t>3129350</t>
  </si>
  <si>
    <t>Лоток драбинного типу SLCU 600х80</t>
  </si>
  <si>
    <t>2.1.3. Лоток драбинного типу універсальний Standard SLCU Н 100 мм</t>
  </si>
  <si>
    <t>3123450</t>
  </si>
  <si>
    <t>Лоток драбинного типу SLCU 100х100</t>
  </si>
  <si>
    <t>3125450</t>
  </si>
  <si>
    <t>Лоток драбинного типу SLCU 200х100</t>
  </si>
  <si>
    <t>3126450</t>
  </si>
  <si>
    <t>Лоток драбинного типу SLCU 300х100</t>
  </si>
  <si>
    <t>3127450</t>
  </si>
  <si>
    <t>Лоток драбинного типу SLCU 400х100</t>
  </si>
  <si>
    <t>3128450</t>
  </si>
  <si>
    <t>Лоток драбинного типу SLCU 500х100</t>
  </si>
  <si>
    <t>3129450</t>
  </si>
  <si>
    <t>Лоток драбинного типу SLCU 600х100</t>
  </si>
  <si>
    <t>2.2. Лоток драбинного типу універсальний LCUp (з перфорованою поперечиною)</t>
  </si>
  <si>
    <t>2.2.1. Лоток драбинного типу універсальний Light LLCUp Н=50 мм</t>
  </si>
  <si>
    <t>3113240</t>
  </si>
  <si>
    <t>Лоток драбинного типу LLCUp 100х50</t>
  </si>
  <si>
    <t>3115240</t>
  </si>
  <si>
    <t>Лоток драбинного типу LLCUp 200х50</t>
  </si>
  <si>
    <t>3116240</t>
  </si>
  <si>
    <t>Лоток драбинного типу LLCUp 300х50</t>
  </si>
  <si>
    <t>3117240</t>
  </si>
  <si>
    <t>Лоток драбинного типу LLCUp 400х50</t>
  </si>
  <si>
    <t>2.2.2. Лоток драбинного типу універсальний Standard SLCUp Н=50 мм</t>
  </si>
  <si>
    <t>3113250</t>
  </si>
  <si>
    <t>Лоток драбинного типу SLCUp 100х50</t>
  </si>
  <si>
    <t>3115250</t>
  </si>
  <si>
    <t>Лоток драбинного типу SLCUp 200х50</t>
  </si>
  <si>
    <t>3116250</t>
  </si>
  <si>
    <t>Лоток драбинного типу SLCUp 300х50</t>
  </si>
  <si>
    <t>3117250</t>
  </si>
  <si>
    <t>Лоток драбинного типу SLCUp 400х50</t>
  </si>
  <si>
    <t>3118250</t>
  </si>
  <si>
    <t>Лоток драбинного типу SLCUp 500х50</t>
  </si>
  <si>
    <t>3119250</t>
  </si>
  <si>
    <t>Лоток драбинного типу SLCUp 600х50</t>
  </si>
  <si>
    <t>2.2.3. Лоток драбинного типу універсальний Standard SLCUp Н=80 мм</t>
  </si>
  <si>
    <t>3113350</t>
  </si>
  <si>
    <t>Лоток драбинного типу SLCUp 100х80</t>
  </si>
  <si>
    <t>3115350</t>
  </si>
  <si>
    <t>Лоток драбинного типу SLCUp 200х80</t>
  </si>
  <si>
    <t>3116350</t>
  </si>
  <si>
    <t>Лоток драбинного типу SLCUp 300х80</t>
  </si>
  <si>
    <t>3117350</t>
  </si>
  <si>
    <t>Лоток драбинного типу SLCUp 400х80</t>
  </si>
  <si>
    <t>3118350</t>
  </si>
  <si>
    <t>Лоток драбинного типу SLCUp 500х80</t>
  </si>
  <si>
    <t>3119350</t>
  </si>
  <si>
    <t>Лоток драбинного типу SLCUp 600х80</t>
  </si>
  <si>
    <t>2.2.4. Лоток драбинного типу універсальний Standard SLCUp Н=100 мм</t>
  </si>
  <si>
    <t>3113450</t>
  </si>
  <si>
    <t>Лоток драбинного типу SLCUp 100х100</t>
  </si>
  <si>
    <t>3115450</t>
  </si>
  <si>
    <t>Лоток драбинного типу SLCUp 200х100</t>
  </si>
  <si>
    <t>3116450</t>
  </si>
  <si>
    <t>Лоток драбинного типу SLCUp 300х100</t>
  </si>
  <si>
    <t>3117450</t>
  </si>
  <si>
    <t>Лоток драбинного типу SLCUp 400х100</t>
  </si>
  <si>
    <t>3118450</t>
  </si>
  <si>
    <t>Лоток драбинного типу SLCUp 500х100</t>
  </si>
  <si>
    <t>3119450</t>
  </si>
  <si>
    <t>Лоток драбинного типу SLCUp 600х100</t>
  </si>
  <si>
    <t>2.3. Лоток драбинного типу вертикальний</t>
  </si>
  <si>
    <t>2.3.1. Лоток драбинного типу вертикальний LCV</t>
  </si>
  <si>
    <t>3135060</t>
  </si>
  <si>
    <t>Лоток драбинного типу LCV 200х47</t>
  </si>
  <si>
    <t>3136060</t>
  </si>
  <si>
    <t>Лоток драбинного типу LCV 300х47</t>
  </si>
  <si>
    <t>3137060</t>
  </si>
  <si>
    <t>Лоток драбинного типу LCV 400х47</t>
  </si>
  <si>
    <t>3138060</t>
  </si>
  <si>
    <t>Лоток драбинного типу LCV 500х47</t>
  </si>
  <si>
    <t>3139060</t>
  </si>
  <si>
    <t>Лоток драбинного типу LCV 600х47</t>
  </si>
  <si>
    <t>2.3.2. Лоток драбинного типу вертикальний LCVp (з перфорованою поперечиною)</t>
  </si>
  <si>
    <t>3145060</t>
  </si>
  <si>
    <t>Лоток драбинного типу LCVp 200х47</t>
  </si>
  <si>
    <t>3146060</t>
  </si>
  <si>
    <t>Лоток драбинного типу LCVp 300х47</t>
  </si>
  <si>
    <t>3147060</t>
  </si>
  <si>
    <t>Лоток драбинного типу LCVp 400х47</t>
  </si>
  <si>
    <t>3148060</t>
  </si>
  <si>
    <t>Лоток драбинного типу LCVp 500х47</t>
  </si>
  <si>
    <t>3149060</t>
  </si>
  <si>
    <t>Лоток драбинного типу LCVp 600х47</t>
  </si>
  <si>
    <t>3. Аксесуари для лотка драбинного типу</t>
  </si>
  <si>
    <t>3.1. Поворот 90° LCU</t>
  </si>
  <si>
    <t>3.1.1. Поворот 90° LCU Н=50 мм</t>
  </si>
  <si>
    <t>3215250</t>
  </si>
  <si>
    <t>Поворот 90° LCU  200х50</t>
  </si>
  <si>
    <t>3216250</t>
  </si>
  <si>
    <t>Поворот 90° LCU  300х50</t>
  </si>
  <si>
    <t>3217250</t>
  </si>
  <si>
    <t>Поворот 90° LCU  400х50</t>
  </si>
  <si>
    <t>3218250</t>
  </si>
  <si>
    <t>Поворот 90° LCU  500х50</t>
  </si>
  <si>
    <t>3219250</t>
  </si>
  <si>
    <t>Поворот 90° LCU  600х50</t>
  </si>
  <si>
    <t>3.1.2. Поворот 90° LCU Н=80 мм</t>
  </si>
  <si>
    <t>3215350</t>
  </si>
  <si>
    <t>Поворот 90° LCU  200х80</t>
  </si>
  <si>
    <t>3216350</t>
  </si>
  <si>
    <t>Поворот 90° LCU  300х80</t>
  </si>
  <si>
    <t>3217350</t>
  </si>
  <si>
    <t>Поворот 90° LCU  400х80</t>
  </si>
  <si>
    <t>3218350</t>
  </si>
  <si>
    <t>Поворот 90° LCU  500х80</t>
  </si>
  <si>
    <t>3219350</t>
  </si>
  <si>
    <t>Поворот 90° LCU  600х80</t>
  </si>
  <si>
    <t>3.1.3. Поворот 90° LCU Н=100 мм</t>
  </si>
  <si>
    <t>3215450</t>
  </si>
  <si>
    <t>Поворот 90° LCU  200х100</t>
  </si>
  <si>
    <t>3216450</t>
  </si>
  <si>
    <t>Поворот 90° LCU  300х100</t>
  </si>
  <si>
    <t>3217450</t>
  </si>
  <si>
    <t>Поворот 90° LCU  400х100</t>
  </si>
  <si>
    <t>3218450</t>
  </si>
  <si>
    <t>Поворот 90° LCU  500х100</t>
  </si>
  <si>
    <t>3219450</t>
  </si>
  <si>
    <t>Поворот 90° LCU  600х100</t>
  </si>
  <si>
    <t>3.2. Т-відвід LCU</t>
  </si>
  <si>
    <t>3.2.1. Т-відвід LCU Н=50 мм</t>
  </si>
  <si>
    <t>3325250</t>
  </si>
  <si>
    <t>Т-відвід LCU 200х50</t>
  </si>
  <si>
    <t>3326250</t>
  </si>
  <si>
    <t>Т-відвід LCU 300х50</t>
  </si>
  <si>
    <t>3327250</t>
  </si>
  <si>
    <t>Т-відвід LCU 400х50</t>
  </si>
  <si>
    <t>3328250</t>
  </si>
  <si>
    <t>Т-відвід LCU 500х50</t>
  </si>
  <si>
    <t>3329250</t>
  </si>
  <si>
    <t>Т-відвід LCU 600х50</t>
  </si>
  <si>
    <t>3.2.2. Т-відвід LCU Н=80 мм</t>
  </si>
  <si>
    <t>3325350</t>
  </si>
  <si>
    <t>Т-відвід LCU 200х80</t>
  </si>
  <si>
    <t>3326350</t>
  </si>
  <si>
    <t>Т-відвід LCU 300х80</t>
  </si>
  <si>
    <t>3327350</t>
  </si>
  <si>
    <t>Т-відвід LCU 400х80</t>
  </si>
  <si>
    <t>3328350</t>
  </si>
  <si>
    <t>Т-відвід LCU 500х80</t>
  </si>
  <si>
    <t>3329350</t>
  </si>
  <si>
    <t>Т-відвід LCU 600х80</t>
  </si>
  <si>
    <t>3.2.3. Т-відвід LCU Н=100 мм</t>
  </si>
  <si>
    <t>3325450</t>
  </si>
  <si>
    <t>Т-відвід LCU 200х100</t>
  </si>
  <si>
    <t>3326450</t>
  </si>
  <si>
    <t>Т-відвід LCU 300х100</t>
  </si>
  <si>
    <t>3327450</t>
  </si>
  <si>
    <t>Т-відвід LCU 400х100</t>
  </si>
  <si>
    <t>3328450</t>
  </si>
  <si>
    <t>Т-відвід LCU 500х100</t>
  </si>
  <si>
    <t>3329450</t>
  </si>
  <si>
    <t>Т-відвід LCU 600х100</t>
  </si>
  <si>
    <t>3.3. Хрестовина LCU</t>
  </si>
  <si>
    <t>3.3.1. Хрестовина LCU Н=50 мм</t>
  </si>
  <si>
    <t>3315250</t>
  </si>
  <si>
    <t>Хрестовина LCU 200х50</t>
  </si>
  <si>
    <t>3316250</t>
  </si>
  <si>
    <t>Хрестовина LCU 300х50</t>
  </si>
  <si>
    <t>3317250</t>
  </si>
  <si>
    <t>Хрестовина LCU 400х50</t>
  </si>
  <si>
    <t>3318250</t>
  </si>
  <si>
    <t>Хрестовина LCU 500х50</t>
  </si>
  <si>
    <t>3319250</t>
  </si>
  <si>
    <t>Хрестовина LCU 600х50</t>
  </si>
  <si>
    <t>3.3.2. Хрестовина LCU Н=80 мм</t>
  </si>
  <si>
    <t>3315350</t>
  </si>
  <si>
    <t>Хрестовина LCU 200х80</t>
  </si>
  <si>
    <t>3316350</t>
  </si>
  <si>
    <t>Хрестовина LCU 300х80</t>
  </si>
  <si>
    <t>3317350</t>
  </si>
  <si>
    <t>Хрестовина LCU 400х80</t>
  </si>
  <si>
    <t>3318350</t>
  </si>
  <si>
    <t>Хрестовина LCU 500х80</t>
  </si>
  <si>
    <t>3319350</t>
  </si>
  <si>
    <t>Хрестовина LCU 600х80</t>
  </si>
  <si>
    <t>3.3.3. Хрестовина LCU Н=100 мм</t>
  </si>
  <si>
    <t>3315450</t>
  </si>
  <si>
    <t>Хрестовина LCU 200х100</t>
  </si>
  <si>
    <t>3316450</t>
  </si>
  <si>
    <t>Хрестовина LCU 300х100</t>
  </si>
  <si>
    <t>3317450</t>
  </si>
  <si>
    <t>Хрестовина LCU 400х100</t>
  </si>
  <si>
    <t>3318450</t>
  </si>
  <si>
    <t>Хрестовина LCU 500х100</t>
  </si>
  <si>
    <t>3319450</t>
  </si>
  <si>
    <t>Хрестовина LCU 600х100</t>
  </si>
  <si>
    <t>3.4. Пластина шарнірного з'єднувача LCU</t>
  </si>
  <si>
    <t>3530450</t>
  </si>
  <si>
    <t>Пластина шарнірного з'єднувача LCU 100</t>
  </si>
  <si>
    <t>3530250</t>
  </si>
  <si>
    <t>Пластина шарнірного з'єднувача LCU 50</t>
  </si>
  <si>
    <t>3530350</t>
  </si>
  <si>
    <t>Пластина шарнірного з'єднувача LCU 80</t>
  </si>
  <si>
    <t>3.5. Пластина з'єднувальна LCU</t>
  </si>
  <si>
    <t>3510440</t>
  </si>
  <si>
    <t>Пластина з'єднувальна LCU 100</t>
  </si>
  <si>
    <t>3510240</t>
  </si>
  <si>
    <t>Пластина з'єднувальна LCU 50</t>
  </si>
  <si>
    <t>3510340</t>
  </si>
  <si>
    <t>Пластина з'єднувальна LCU 80</t>
  </si>
  <si>
    <t>3550450</t>
  </si>
  <si>
    <t>Пластина з'єднувальна регульована LCU 100</t>
  </si>
  <si>
    <t>3550250</t>
  </si>
  <si>
    <t>Пластина з'єднувальна регульована LCU 50</t>
  </si>
  <si>
    <t>3550350</t>
  </si>
  <si>
    <t>Пластина з'єднувальна регульована LCU 80</t>
  </si>
  <si>
    <t>3520440</t>
  </si>
  <si>
    <t>Пластина з'єднувальна універсальна LCU 100</t>
  </si>
  <si>
    <t>3520240</t>
  </si>
  <si>
    <t>Пластина з'єднувальна універсальна LCU 50</t>
  </si>
  <si>
    <t>3520340</t>
  </si>
  <si>
    <t>Пластина з'єднувальна універсальна LCU 80</t>
  </si>
  <si>
    <t>4.1. Консолі, кронштейни</t>
  </si>
  <si>
    <t>2613040</t>
  </si>
  <si>
    <t>Консоль кронштейну 100 (т.м. 1,0 мм)</t>
  </si>
  <si>
    <t>2613050</t>
  </si>
  <si>
    <t>Консоль кронштейну 100 (т.м. 1,5 мм)</t>
  </si>
  <si>
    <t>2614050</t>
  </si>
  <si>
    <t>Консоль кронштейну 150 (т.м. 1,5 мм)</t>
  </si>
  <si>
    <t>2615050</t>
  </si>
  <si>
    <t>Консоль кронштейну 200 (т.м. 1,5 мм)</t>
  </si>
  <si>
    <t>2616050</t>
  </si>
  <si>
    <t>Консоль кронштейну 300 (т.м. 1,5 мм)</t>
  </si>
  <si>
    <t>2617050</t>
  </si>
  <si>
    <t>Консоль кронштейну 400 (т.м. 1,5 мм)</t>
  </si>
  <si>
    <t>2618050</t>
  </si>
  <si>
    <t>Консоль кронштейну 500 (т.м. 1,5 мм)</t>
  </si>
  <si>
    <t>2619050</t>
  </si>
  <si>
    <t>Консоль кронштейну 600 (т.м. 1,5 мм)</t>
  </si>
  <si>
    <t>3615070</t>
  </si>
  <si>
    <t>Консоль монолітна 200</t>
  </si>
  <si>
    <t>3616070</t>
  </si>
  <si>
    <t>Консоль монолітна 300</t>
  </si>
  <si>
    <t>3617070</t>
  </si>
  <si>
    <t>Консоль монолітна 400</t>
  </si>
  <si>
    <t>3618070</t>
  </si>
  <si>
    <t>Консоль монолітна 500</t>
  </si>
  <si>
    <t>3619070</t>
  </si>
  <si>
    <t>Консоль монолітна 600</t>
  </si>
  <si>
    <t>2611940</t>
  </si>
  <si>
    <t>Консоль настінна  50</t>
  </si>
  <si>
    <t>2613940</t>
  </si>
  <si>
    <t>Консоль настінна 100</t>
  </si>
  <si>
    <t>2614950</t>
  </si>
  <si>
    <t>Консоль настінна 150</t>
  </si>
  <si>
    <t>2615950</t>
  </si>
  <si>
    <t>Консоль настінна 200</t>
  </si>
  <si>
    <t>2616950</t>
  </si>
  <si>
    <t>Консоль настінна 300</t>
  </si>
  <si>
    <t>2663660</t>
  </si>
  <si>
    <t>Кронштейн настінний 100</t>
  </si>
  <si>
    <t>2664660</t>
  </si>
  <si>
    <t>Кронштейн настінний 150</t>
  </si>
  <si>
    <t>2665660</t>
  </si>
  <si>
    <t>Кронштейн настінний 200</t>
  </si>
  <si>
    <t>2666660</t>
  </si>
  <si>
    <t>Кронштейн настінний 300</t>
  </si>
  <si>
    <t>2667660</t>
  </si>
  <si>
    <t>Кронштейн настінний 400</t>
  </si>
  <si>
    <t>2668660</t>
  </si>
  <si>
    <t>Кронштейн настінний 500</t>
  </si>
  <si>
    <t>2669660</t>
  </si>
  <si>
    <t>Кронштейн настінний 600</t>
  </si>
  <si>
    <t>2663560</t>
  </si>
  <si>
    <t>Кронштейн настінно-стельовий 100</t>
  </si>
  <si>
    <t>2664560</t>
  </si>
  <si>
    <t>Кронштейн настінно-стельовий 150</t>
  </si>
  <si>
    <t>2665560</t>
  </si>
  <si>
    <t>Кронштейн настінно-стельовий 200</t>
  </si>
  <si>
    <t>2666560</t>
  </si>
  <si>
    <t>Кронштейн настінно-стельовий 300</t>
  </si>
  <si>
    <t>2661060</t>
  </si>
  <si>
    <t>Кронштейн стельовий  50х130х2</t>
  </si>
  <si>
    <t>2661050</t>
  </si>
  <si>
    <t>Кронштейн стельовий  50х180х2</t>
  </si>
  <si>
    <t>2661070</t>
  </si>
  <si>
    <t>Кронштейн стельовий  50х180х5</t>
  </si>
  <si>
    <t>2663070</t>
  </si>
  <si>
    <t>Кронштейн стельовий 100х180х5</t>
  </si>
  <si>
    <t>2664070</t>
  </si>
  <si>
    <t>Кронштейн стельовий 150х180х5</t>
  </si>
  <si>
    <t>4.2. Планки, монтажні профілі</t>
  </si>
  <si>
    <t>2621460</t>
  </si>
  <si>
    <t>Планка кронштейну  100</t>
  </si>
  <si>
    <t>2620660</t>
  </si>
  <si>
    <t>Планка кронштейну  400</t>
  </si>
  <si>
    <t>2620063</t>
  </si>
  <si>
    <t>Планка кронштейну  600</t>
  </si>
  <si>
    <t>2620064</t>
  </si>
  <si>
    <t>Планка кронштейну  800</t>
  </si>
  <si>
    <t>2620066</t>
  </si>
  <si>
    <t>Планка кронштейну 1000</t>
  </si>
  <si>
    <t>2620067</t>
  </si>
  <si>
    <t>Планка кронштейну 1200</t>
  </si>
  <si>
    <t>2620068</t>
  </si>
  <si>
    <t>Планка кронштейну 1500</t>
  </si>
  <si>
    <t>2620069</t>
  </si>
  <si>
    <t>Планка кронштейну 2000</t>
  </si>
  <si>
    <t>2620960</t>
  </si>
  <si>
    <t>Планка кронштейну 3000</t>
  </si>
  <si>
    <t>3620960</t>
  </si>
  <si>
    <t>Планка кронштейну С-подібна 3000мм</t>
  </si>
  <si>
    <t>2643060</t>
  </si>
  <si>
    <t>Планка перфорована  100</t>
  </si>
  <si>
    <t>2645060</t>
  </si>
  <si>
    <t>Планка перфорована  200</t>
  </si>
  <si>
    <t>2646060</t>
  </si>
  <si>
    <t>Планка перфорована  300</t>
  </si>
  <si>
    <t>2647060</t>
  </si>
  <si>
    <t>Планка перфорована  400</t>
  </si>
  <si>
    <t>2648060</t>
  </si>
  <si>
    <t>Планка перфорована  500</t>
  </si>
  <si>
    <t>2649060</t>
  </si>
  <si>
    <t>Планка перфорована  600</t>
  </si>
  <si>
    <t>2640760</t>
  </si>
  <si>
    <t>Планка перфорована 2000</t>
  </si>
  <si>
    <t>4.3. Станини, скоби, підвіси стельові</t>
  </si>
  <si>
    <t>2170060</t>
  </si>
  <si>
    <t>Підвіс трапецієподібний 120</t>
  </si>
  <si>
    <t>2650260</t>
  </si>
  <si>
    <t>Скоба стельова</t>
  </si>
  <si>
    <t>2630380</t>
  </si>
  <si>
    <t>Станина потолочная</t>
  </si>
  <si>
    <t>3630590</t>
  </si>
  <si>
    <t>Станина стельова одинарна</t>
  </si>
  <si>
    <t>3630580</t>
  </si>
  <si>
    <t>Станина стельова подвійна</t>
  </si>
  <si>
    <t>2630260</t>
  </si>
  <si>
    <t>Станина стельова регульована</t>
  </si>
  <si>
    <t>4.4. Кутники, пластини</t>
  </si>
  <si>
    <t>2630060</t>
  </si>
  <si>
    <t>Кутник монтажный</t>
  </si>
  <si>
    <t>3630060</t>
  </si>
  <si>
    <t>3633160</t>
  </si>
  <si>
    <t>Пластина дистанційна 100</t>
  </si>
  <si>
    <t>3635160</t>
  </si>
  <si>
    <t>Пластина дистанційна 200</t>
  </si>
  <si>
    <t>3636160</t>
  </si>
  <si>
    <t>Пластина дистанційна 300</t>
  </si>
  <si>
    <t>3637160</t>
  </si>
  <si>
    <t>Пластина дистанційна 400</t>
  </si>
  <si>
    <t>3638160</t>
  </si>
  <si>
    <t>Пластина дистанційна 500</t>
  </si>
  <si>
    <t>3639160</t>
  </si>
  <si>
    <t>Пластина дистанційна 600</t>
  </si>
  <si>
    <t>5. Метізи</t>
  </si>
  <si>
    <t>m1040010</t>
  </si>
  <si>
    <t>Анкер 8х60 з кожухом і гайкой М6 e.metiz.anchor.1.92.F1.N.08.60</t>
  </si>
  <si>
    <t>m0021113</t>
  </si>
  <si>
    <t>Гвинт М6х10 з напівкруглою головкою e.metiz.boltcap.5V.2.06.10</t>
  </si>
  <si>
    <t>m0021012</t>
  </si>
  <si>
    <t>Болт М6х12 з квадратним підголовником e.metiz.bolt.cap.5V.2.06.12</t>
  </si>
  <si>
    <t>m0070005</t>
  </si>
  <si>
    <t>Різьбовий стержень з метричною різьбою М6, довжина 1м e.metiz.brad.5z.0.06</t>
  </si>
  <si>
    <t>m0070003</t>
  </si>
  <si>
    <t>Різьбовий стержень з метричною різьбою М6, довжина 2м e.metiz.brad.5z.2.06.2</t>
  </si>
  <si>
    <t>m1060004</t>
  </si>
  <si>
    <t>Дюбель розпірний М6х23d8, різбьа М6, діаметр 8 мм, довжина 23 мм, латунь e.metiz.dowel.92.E7.06.23</t>
  </si>
  <si>
    <t>m103016</t>
  </si>
  <si>
    <t>Гайка чиста з різьбою М6 e.metiz.nut.1.60.2.06</t>
  </si>
  <si>
    <t>m1030023</t>
  </si>
  <si>
    <t>Гайка подовжувач з різьбою М6, довжина 18 мм e.metiz.nut.1.6D.06.18</t>
  </si>
  <si>
    <t>m1030011</t>
  </si>
  <si>
    <t>Гайка зубчата з різьбою М6 e.metiz.nut.1.6KR.2.06</t>
  </si>
  <si>
    <t>m1050015</t>
  </si>
  <si>
    <t>Шайба кузовна під різьбу М6 e.metiz.washer.1.7K.2.06</t>
  </si>
  <si>
    <t>m1050020</t>
  </si>
  <si>
    <t>Шайба плоска під різьбу М6 e.metiz.washer.1.7О.2.06</t>
  </si>
  <si>
    <t>8.Світлотехнічна продукція</t>
  </si>
  <si>
    <t>1.Світильники</t>
  </si>
  <si>
    <t>1.Світильники LED</t>
  </si>
  <si>
    <t>1.Прожектори світлодіодні LED</t>
  </si>
  <si>
    <t>l0800023</t>
  </si>
  <si>
    <t>Прожектор світлодіодний e.LED.flood.10.6500, 10Вт, 6500К</t>
  </si>
  <si>
    <t>l0800024</t>
  </si>
  <si>
    <t>Прожектор світлодіодний e.LED.flood.20.6500, 20Вт, 6500К</t>
  </si>
  <si>
    <t>l0800025</t>
  </si>
  <si>
    <t>Прожектор світлодіодний e.LED.flood.30.6500, 30Вт, 6500К</t>
  </si>
  <si>
    <t>l0800026</t>
  </si>
  <si>
    <t>Прожектор світлодіодний e.LED.flood.50.6500, 50Вт, 6500К</t>
  </si>
  <si>
    <t>l0800027</t>
  </si>
  <si>
    <t>Прожектор світлодіодний e.LED.flood.70.6500, 70Вт, 6500К</t>
  </si>
  <si>
    <t>l0800005</t>
  </si>
  <si>
    <t>Прожектор світлодіодний e.light.LED.101.240.16.6500.white 16Вт білий</t>
  </si>
  <si>
    <t>l0800003</t>
  </si>
  <si>
    <t>Прожектор світлодіодний e.light.LED.102.24.24.2700.black 24Вт чорний</t>
  </si>
  <si>
    <t>l0800004</t>
  </si>
  <si>
    <t>Прожектор світлодіодний e.light.LED.102.24.24.6500.black 24Вт чорний</t>
  </si>
  <si>
    <t>l0800010</t>
  </si>
  <si>
    <t>Прожектор світлодіодний e.light.LED.150.6.6.2700.black 6Вт чорний</t>
  </si>
  <si>
    <t>l0800001</t>
  </si>
  <si>
    <t>Прожектор світлодіодний e.light.LED.150.6.6.6500.black 6Вт чорний</t>
  </si>
  <si>
    <t>l0800011</t>
  </si>
  <si>
    <t>Прожектор світлодіодний e.light.LED.150.9.9.6500.black 9Вт чорний</t>
  </si>
  <si>
    <t>l0800013</t>
  </si>
  <si>
    <t>Прожектор світлодіодний e.light.LED.TGD.2.80.4200.grey 80Вт сірий, IP65</t>
  </si>
  <si>
    <t>2.Світильники світлодіодні лінійні LED</t>
  </si>
  <si>
    <t>l0810008</t>
  </si>
  <si>
    <t>Світильник світлодіодний, накладний e.LED.2101.18.4500, 18Вт, 4500К,600мм,IP20</t>
  </si>
  <si>
    <t>l0810004</t>
  </si>
  <si>
    <t>Світильник світлодіодний, накладний e.LED.2101.18.6500, 18Вт, 6500К,600мм,IP20</t>
  </si>
  <si>
    <t>l0810009</t>
  </si>
  <si>
    <t>Світильник світлодіодний, накладний e.LED.2101.36.4500, 36Вт, 4500К,1200мм,IP20</t>
  </si>
  <si>
    <t>l0810005</t>
  </si>
  <si>
    <t>Світильник світлодіодний, накладний e.LED.2101.36.6500, 36Вт, 6500К,1200мм,IP20</t>
  </si>
  <si>
    <t>l0810006</t>
  </si>
  <si>
    <t>Світильник світлодіодний, пиловологозахищений e.LED.cpw.18.6500, 18Вт, 6500К,600мм,IP65</t>
  </si>
  <si>
    <t>l0810007</t>
  </si>
  <si>
    <t>Світильник світлодіодний, пиловологозахищений e.LED.cpw.36.6500, 36Вт, 6500К,1200мм,IP65</t>
  </si>
  <si>
    <t>l0810010</t>
  </si>
  <si>
    <t>Світильник світлодіодний, пиловологозахищений e.LED.cpw.48.6500, 48Вт, 6500К,1500мм,IP65</t>
  </si>
  <si>
    <t>l0840005</t>
  </si>
  <si>
    <t>Світильник світлодіодний лінійний, накладний e.LED.сh.T5B300.5.6500, 5Вт, 6500К</t>
  </si>
  <si>
    <t>l0840006</t>
  </si>
  <si>
    <t>Світильник світлодіодний лінійний, накладний e.LED.сh.T5B600.9.6500, 9Вт, 6500К</t>
  </si>
  <si>
    <t>l0840007</t>
  </si>
  <si>
    <t>Світильник світлодіодний лінійний, накладний e.LED.сh.T5B900.12.6500, 12Вт, 6500К</t>
  </si>
  <si>
    <t>l0840008</t>
  </si>
  <si>
    <t>Світильник світлодіодний лінійний, накладний e.LED.сh.T5B1200.18.6500, 18Вт, 6500К</t>
  </si>
  <si>
    <t>l0840001</t>
  </si>
  <si>
    <t>Світильник світлодіодний лінійний, накладний e.LED.сh.T5A300.5.5400, 5Вт, 5400К</t>
  </si>
  <si>
    <t>l0840002</t>
  </si>
  <si>
    <t>Світильник світлодіодний лінійний, накладний e.LED.сh.T5A600.8.5400, 8Вт, 5400К</t>
  </si>
  <si>
    <t>l0840003</t>
  </si>
  <si>
    <t>Світильник світлодіодний лінійний, накладний e.LED.сh.T5A900.12.5400, 12Вт, 5400К</t>
  </si>
  <si>
    <t>l0840004</t>
  </si>
  <si>
    <t>Світильник світлодіодний лінійний, накладний e.LED.сh.T5A1200.15.5400, 15Вт, 5400К</t>
  </si>
  <si>
    <t>3.Світильники світлодіодні консольні LED</t>
  </si>
  <si>
    <t>l0820003</t>
  </si>
  <si>
    <t>Світильник світлодіодний консольний e.LED.Street.50.6500, 50Вт, 6500К, 5000Лм</t>
  </si>
  <si>
    <t>l0820004</t>
  </si>
  <si>
    <t>Світильник світлодіодний консольний e.LED.Street.100.6500, 100Вт, 6500К, 10000Лм</t>
  </si>
  <si>
    <t>l0820005</t>
  </si>
  <si>
    <t>Світильник світлодіодний консольний e.LED.Street.150.6500, 150Вт, 6500К, 15000Лм</t>
  </si>
  <si>
    <t>4.Світильники світлодіодні підвісні LED (High Bay)</t>
  </si>
  <si>
    <t>l0830002</t>
  </si>
  <si>
    <t>Світильник світлодіодний підвісний e.LED HB.E27.30.6500, 30Вт, 6500К, 1680Лм</t>
  </si>
  <si>
    <t>l0830003</t>
  </si>
  <si>
    <t>Світильник світлодіодний підвісний e.LED HB.E27.50.6500, 50Вт, 6500К, 2800Лм</t>
  </si>
  <si>
    <t>l0830004</t>
  </si>
  <si>
    <t>Світильник світлодіодний підвісний e.LED HB.E27.100.6500.,100Вт, 6500К, 5600Лм</t>
  </si>
  <si>
    <t>l0830005</t>
  </si>
  <si>
    <t>Світильник світлодіодний підвісний e.LED.HB.100.6500, 100Вт, 6500К, 10000Лм</t>
  </si>
  <si>
    <t>l0830006</t>
  </si>
  <si>
    <t>Світильник світлодіодний підвісний e.LED.HB.150.6500, 150Вт, 6500К, 15000Лм</t>
  </si>
  <si>
    <t>l0830009</t>
  </si>
  <si>
    <t>Відбивач для світильника підвісного e.LED.HB.Reflect.120.100, кут розсіювання 120°</t>
  </si>
  <si>
    <t>l0830010</t>
  </si>
  <si>
    <t>Відбивач для світильника підвісного e.LED.HB.Reflect.120.150, кут розсіювання  120°</t>
  </si>
  <si>
    <t>l0830007</t>
  </si>
  <si>
    <t>Відбивач для світильника підвісного e.LED.HB.Reflect.90.100, кут розсіювання 90°</t>
  </si>
  <si>
    <t>l0830008</t>
  </si>
  <si>
    <t>Відбивач для світильника підвісного e.LED.HB.Reflect.90.150, кут розсіювання  90°</t>
  </si>
  <si>
    <t>5.Мініпанелі світлодіодні LED</t>
  </si>
  <si>
    <t>l0860001</t>
  </si>
  <si>
    <t>Світильник світлодіодний вбудов e.LED.MP.Round.R.6.4500, коло, 6Вт, 4500К, 420Лм</t>
  </si>
  <si>
    <t>l0860002</t>
  </si>
  <si>
    <t>Світильник світлодіодний вбудов e.LED.MP.Round.R.12.4500, коло, 12Вт, 4500К, 840Лм</t>
  </si>
  <si>
    <t>l0860003</t>
  </si>
  <si>
    <t>Світильник світлодіодний вбудов e.LED.MP.Round.R.18.4500, коло, 18Вт, 4500К, 1260Лм</t>
  </si>
  <si>
    <t>l0860007</t>
  </si>
  <si>
    <t>Світильник світлодіодний накладний e.LED.MP.Round.S.6.4500. коло, 6Вт, 4500К, 420Лм</t>
  </si>
  <si>
    <t>l0860008</t>
  </si>
  <si>
    <t>Світильник світлодіодний накладний e.LED.MP.Round.S.12.4500. коло, 12Вт, 4500К, 840Лм</t>
  </si>
  <si>
    <t>l0860009</t>
  </si>
  <si>
    <t>Світильник світлодіодний накладний e.LED.MP.Round.S.18.4500. коло, 18Вт, 4500К, 1260Лм</t>
  </si>
  <si>
    <t>l0860004</t>
  </si>
  <si>
    <t>Світильник світлодіодний вбудов e.LED.MP.Square.R.6.4500, квадрат, 6Вт, 4500К, 420Лм</t>
  </si>
  <si>
    <t>l0860005</t>
  </si>
  <si>
    <t>Світильник світлодіодний вбудов e.LED.MP.Square.R.12.4500, квадрат, 12Вт, 4500К, 840Лм</t>
  </si>
  <si>
    <t>l0860006</t>
  </si>
  <si>
    <t>Світильник світлодіодний вбудов e.LED.MP.Square.R.18.4500. квадрат, 18Вт, 4500К, 1260Лм</t>
  </si>
  <si>
    <t>l0860010</t>
  </si>
  <si>
    <t>Світильник світлодіодний накладний e.LED.MP.Square.S.6.4500. квадрат, 6Вт, 4500К, 420Лм</t>
  </si>
  <si>
    <t>l0860011</t>
  </si>
  <si>
    <t>Світильник світлодіодний накладний e.LED.MP.Square.S.12.4500. квадрат, 12Вт, 4500К, 840Лм</t>
  </si>
  <si>
    <t>l0860012</t>
  </si>
  <si>
    <t>Світильник світлодіодний накладний e.LED.MP.Square.S.18.4500. квадрат, 18Вт, 4500К, 1260Лм</t>
  </si>
  <si>
    <t>l0860013</t>
  </si>
  <si>
    <t>Блок живлення для світильника світлодіодного e.LED.MP.Driver.6, 4-7W, 300mA</t>
  </si>
  <si>
    <t>l0860014</t>
  </si>
  <si>
    <t>Блок живлення для світильника світлодіодного e.LED.MP.Driver.12,12W, 300mA</t>
  </si>
  <si>
    <t>l0860015</t>
  </si>
  <si>
    <t>Блок живлення для світильника світлодіодного e.LED.MP.Driver.18,18W, 300mA</t>
  </si>
  <si>
    <t>l0860016</t>
  </si>
  <si>
    <t>Блок живлення для світильника світлодіодного e.LED.MP.Driver.24, 24W, 300mA</t>
  </si>
  <si>
    <t>6.Панелі світлодіодні LED</t>
  </si>
  <si>
    <t>l0850007</t>
  </si>
  <si>
    <t>Світильник світлодіодний e.LED PANEL.600.36.4500.white</t>
  </si>
  <si>
    <t>l0850001</t>
  </si>
  <si>
    <t>Світильник світлодіодний e.LED PANEL.600.36.6500.white</t>
  </si>
  <si>
    <t>l0850010</t>
  </si>
  <si>
    <t>Рамка для монтажу на поверхню e.LED PANEL.600.frame.white 600х600мм, біла</t>
  </si>
  <si>
    <t>l0850011</t>
  </si>
  <si>
    <t>Комплект кріплення для гіпсокартону e.LED PANEL.600.fix.kit</t>
  </si>
  <si>
    <t>l0850013</t>
  </si>
  <si>
    <t>Блок живлення для світильника світлодіодного e.LED PANEL.600.Driver.36, 36Вт, 300мА</t>
  </si>
  <si>
    <t>l0850003</t>
  </si>
  <si>
    <t>Комплект підвісів для PANEL LED- SH</t>
  </si>
  <si>
    <t>l0850005</t>
  </si>
  <si>
    <t>Світильник світлодіодний з опаловим розсіювачем e.LED Surface 600 Opal, 36Вт, 4500K, 3000Лм, IP20, 595х595х27мм</t>
  </si>
  <si>
    <t>l0850006</t>
  </si>
  <si>
    <t>Світильник світлодіодний з опаловим розсіювачем e.LED Surface 600.Opal, 36Вт, 6500K, 3000Лм, IP20, 595х595х27мм</t>
  </si>
  <si>
    <t>l0850004</t>
  </si>
  <si>
    <t>Світильник світлодіодний з призматичним розсіювачем e.LED Surface 600.Prisma, 36Вт, 4500K, 3000Лм, IP20, 595х595х27мм</t>
  </si>
  <si>
    <t>l0850002</t>
  </si>
  <si>
    <t>Світильник світлодіодний з призматичним розсіювачем e.LED Surface 600.Prisma, 36Вт, 6500K, 3000Лм, IP20, 595х595х27мм</t>
  </si>
  <si>
    <t>l0850008</t>
  </si>
  <si>
    <t>Блок живлення для світильника світлодіодного e.LED Surface 600.Driver.36, 36Вт, 350мА</t>
  </si>
  <si>
    <t>l0850009</t>
  </si>
  <si>
    <t>Розсіювач призматичний для світильника світлодіодного e.LED Surface 600.Diffus.Prisma</t>
  </si>
  <si>
    <t>8.Світильники LED інших ТМ</t>
  </si>
  <si>
    <t>l0870443</t>
  </si>
  <si>
    <t>Світильник LED-SH-595-20 prismatic 36Вт 4000К</t>
  </si>
  <si>
    <t>l0121497</t>
  </si>
  <si>
    <t>Світильник Panel LED Lumen 40W 595x595 4100K</t>
  </si>
  <si>
    <t>l0870444</t>
  </si>
  <si>
    <t>Світильник світлодіодний СВО_36W_60Х60_6500K_prismatic</t>
  </si>
  <si>
    <t>l0870458</t>
  </si>
  <si>
    <t>Світильник світлодіодний СВО_40W_60Х60_5000K</t>
  </si>
  <si>
    <t>2.Світильники люмінесцентні</t>
  </si>
  <si>
    <t>1.Світильники з електронним баластом серії E.LIGHT</t>
  </si>
  <si>
    <t>l001047</t>
  </si>
  <si>
    <t>Світильник люмінесцентний  e.lum.ch.1301.1.6 з електронним баластом з лампою Т5</t>
  </si>
  <si>
    <t>l001048</t>
  </si>
  <si>
    <t>Світильник люмінесцентний  e.lum.ch.1301.1.8 з електронним баластом з лампою Т5</t>
  </si>
  <si>
    <t>l001049</t>
  </si>
  <si>
    <t>Світильник люмінесцентний  e.lum.ch.1301.1.13 з електронним баластом з лампою Т5</t>
  </si>
  <si>
    <t>l001050</t>
  </si>
  <si>
    <t>Світильник люмінесцентний  e.lum.ch.1301.1.21 з електронним баластом з лампою Т5</t>
  </si>
  <si>
    <t>l001051</t>
  </si>
  <si>
    <t>Світильник люмінесцентний  e.lum.ch.1301.1.28 з електронним баластом з лампою Т5</t>
  </si>
  <si>
    <t>l001052</t>
  </si>
  <si>
    <t>Світильник люмінесцентний  e.lum.ch.1301.1.35 з електронним баластом з лампою Т5</t>
  </si>
  <si>
    <t>l001054</t>
  </si>
  <si>
    <t>Світильник люмінесцентний e.lum.ch.1304.1.18 з електронним баластом з лампою Т8</t>
  </si>
  <si>
    <t>l001055</t>
  </si>
  <si>
    <t>Світильник люмінесцентний e.lum.зh.1304.1.30 з електронним баластом з лампою Т8</t>
  </si>
  <si>
    <t>l001056</t>
  </si>
  <si>
    <t>Світильник люмінесцентний e.lum.ch.1304.1.36 з електронним баластом з лампою Т8</t>
  </si>
  <si>
    <t>l001104</t>
  </si>
  <si>
    <t>Світильник люмінесцентний  e.lum.ch.2404.1.8.180d поворотний з електронним баластом з лампою Т5</t>
  </si>
  <si>
    <t>l001105</t>
  </si>
  <si>
    <t>Світильник люмінесцентний  e.lum.ch.2404.1.13.180d поворотний з електронним баластом з лампою Т5</t>
  </si>
  <si>
    <t>l001106</t>
  </si>
  <si>
    <t>Світильник люмінесцентний e.lum.ch.2404.1.21.180d поворотний з електронним баластом з лампою Т5</t>
  </si>
  <si>
    <t>l001107</t>
  </si>
  <si>
    <t>Світильник люмінесцентний e.lum.ch.2404.1.28.180d поворотний з електронним баластом з лампою Т5</t>
  </si>
  <si>
    <t>l001059</t>
  </si>
  <si>
    <t>Світильник люмінесцентний  e.lum.зh.2101.1.30 з електронним баластом з лампою Т8</t>
  </si>
  <si>
    <t>2.Евросвітильники 99003 та 99004 серії E.LIGHT</t>
  </si>
  <si>
    <t>l001019</t>
  </si>
  <si>
    <t>Світильник люмінесцентний з електронним баластом e.lum.99003.1.20 1х20W</t>
  </si>
  <si>
    <t>l001021</t>
  </si>
  <si>
    <t>Світильник люмінесцентний з електронним баластом e.lum.99003.1.40 1х40W</t>
  </si>
  <si>
    <t>l001022</t>
  </si>
  <si>
    <t>Світильник люмінесцентний з електронним баластом e.lum.99004.2.20 2х20W</t>
  </si>
  <si>
    <t>l001400</t>
  </si>
  <si>
    <t>Світильник люмінесцентний e.lum.99004.2.20.empty, 2х20W без ПРА</t>
  </si>
  <si>
    <t>l001024</t>
  </si>
  <si>
    <t>Світильник люмінесцентний з електронним баластом e.lum.99004.2.40 2х40W</t>
  </si>
  <si>
    <t>l001401</t>
  </si>
  <si>
    <t>Світильник люмінесцентний e.lum.99004.2.40.empty, 2х40W без ПРА</t>
  </si>
  <si>
    <t>l001066</t>
  </si>
  <si>
    <t>Світильник люмінесцентний з електронним баластом e.lum.99003.1.20.grille, 1х20W, з розсіюючою решіткою</t>
  </si>
  <si>
    <t>l001068</t>
  </si>
  <si>
    <t>Світильник люмінесцентний з електронним баластом e.lum.99003.1.40.grille, 1х40W, з розсіюючою решіткою</t>
  </si>
  <si>
    <t>l001069</t>
  </si>
  <si>
    <t>Світильник люмінесцентний з електронним баластом e.lum.99004.2.20.grille, 2х20W, з розсіюючою решіткою</t>
  </si>
  <si>
    <t>l001071</t>
  </si>
  <si>
    <t>Світильник люмінесцентний з електронним баластом e.lum.99004.2.40.grille, 2х40W, з розсіюючою решіткою</t>
  </si>
  <si>
    <t>3.Світильники без плафона e.lum.c серії E.LIGHT</t>
  </si>
  <si>
    <t>l001110</t>
  </si>
  <si>
    <t>Світильник люмінесцентний e.lum.c.1.20.el 1х20Вт, ЄПРА</t>
  </si>
  <si>
    <t>l001111</t>
  </si>
  <si>
    <t>Світильник люмінесцентний e.lum.c.1.40.el 1х40Вт, ЄПРА</t>
  </si>
  <si>
    <t>l001112</t>
  </si>
  <si>
    <t>Світильник люмінесцентний e.lum.c.2.40.el 2х40Вт, ЄПРА</t>
  </si>
  <si>
    <t>l001090</t>
  </si>
  <si>
    <t>Металевий розсіювач e.lum.c.reflect.1.20, білий</t>
  </si>
  <si>
    <t>l001091</t>
  </si>
  <si>
    <t>Металевий розсіювач e.lum.c.reflect.1.40, білий</t>
  </si>
  <si>
    <t>l001092</t>
  </si>
  <si>
    <t>Металевий розсіювач e.lum.c.reflect.2.40, білий</t>
  </si>
  <si>
    <t>l001003</t>
  </si>
  <si>
    <t>Світильник люмінесцентний e.lum.c.2.20 2х20W</t>
  </si>
  <si>
    <t>l001004</t>
  </si>
  <si>
    <t>Світильник люмінесцентний e.lum.c.2.40 2х40W</t>
  </si>
  <si>
    <t>l0490001</t>
  </si>
  <si>
    <t>Світильник люмінесцентний e.lum.c.1.20.new, 1х20W, з відбивачем</t>
  </si>
  <si>
    <t>4.Світильники пиловологозахищені e.lum.cpw серії E.LIGHT</t>
  </si>
  <si>
    <t>l001300</t>
  </si>
  <si>
    <t>Світильник люмінесцентний з призматичним плафоном e.lum.cpw.1.40.eco, 1x40W IP65</t>
  </si>
  <si>
    <t>l001301</t>
  </si>
  <si>
    <t>Світильник  з призматичним плафоном  e.lum.cpw.1.40.eco.empty, 1x40W IP65 без ПРА</t>
  </si>
  <si>
    <t>l001302</t>
  </si>
  <si>
    <t>Світильник люмінесцентний з призматичним плафоном e.lum.cpw.2.20.eco, 2x20W IP65</t>
  </si>
  <si>
    <t>l001303</t>
  </si>
  <si>
    <t>Світильник з призматичним плафоном e.lum.cpw.2.20.eco, 2x20W IP65 без ПРА</t>
  </si>
  <si>
    <t>l001304</t>
  </si>
  <si>
    <t>Світильник люмінесцентний з призматичним плафоном e.lum.cpw.2.40.eco, 2x40W IP65</t>
  </si>
  <si>
    <t>l001305</t>
  </si>
  <si>
    <t>Світильник люмінесцентний з призматичним плафоном e.lum.cpw.2.40.eco, 2x40W IP65 ЕПРА</t>
  </si>
  <si>
    <t>l001306</t>
  </si>
  <si>
    <t>Світильник з призматичним плафоном  e.lum.cpw.2.40.eco.empty, 2x40W IP65 без ПРА</t>
  </si>
  <si>
    <t>l001307</t>
  </si>
  <si>
    <t>Світильник  з призматичним плафоном e.lum.cpw.2.58.eco.empty, 2x58W IP65 без ПРА</t>
  </si>
  <si>
    <t>l001033</t>
  </si>
  <si>
    <t>Світильник люмінесцентний з призматичним плафоном e.lum.cpw.1.20.new 1х20W IP65 (новий дизайн)</t>
  </si>
  <si>
    <t>l001080</t>
  </si>
  <si>
    <t>Світильник люмінесцентний з призматичним плафоном e.lum.cpw.1.58.new 1х58W IP65 (новий дизайн)</t>
  </si>
  <si>
    <t>l001089</t>
  </si>
  <si>
    <t>Світильник люмінесцентний з призматичним плафоном e.lum.cpw.1.58.new.empty IP65 без ПРА</t>
  </si>
  <si>
    <t>l001085</t>
  </si>
  <si>
    <t>Світильник люмінесцентний з призматичним плафоном e.lum.cpw.2.20.new 2х20W IP65 без ПРА</t>
  </si>
  <si>
    <t>l001082</t>
  </si>
  <si>
    <t>Світильник люмінесцентний з призматичним плафоном та електронною ПРА e.lum.cpw.2.40.el.new 2х40W IP65 (новий дизайн)</t>
  </si>
  <si>
    <t>l001074</t>
  </si>
  <si>
    <t>Затискна кліпса до світильника e.metal.clip.cpw.new</t>
  </si>
  <si>
    <t>3.Світильники растрові</t>
  </si>
  <si>
    <t>1.Світильники растрові серії E.LIGHT</t>
  </si>
  <si>
    <t>l001062</t>
  </si>
  <si>
    <t>Світильник люмінесцентний растровий накладний e.lum.raster.apparent.4.20.b.c з 4х20W, спарена ПРА, компенсований</t>
  </si>
  <si>
    <t>l001308</t>
  </si>
  <si>
    <t>Світильник люмінесцентний растровий накладний e.lum.raster.apparent.4.20.eco, 4х20W</t>
  </si>
  <si>
    <t>l001309</t>
  </si>
  <si>
    <t>Світильник люмінесцентний растровий накладний e.lum.raster.apparent.4.20.el.eco, 4х20W</t>
  </si>
  <si>
    <t>l001310</t>
  </si>
  <si>
    <t>Світильник растровий накладний e.lum.raster.apparent.4.20.eco.empty, 4х20W без ПРА</t>
  </si>
  <si>
    <t>l001201</t>
  </si>
  <si>
    <t>Світильник люмінесцентний растровий накладний e.lum.raster.apparent.3.14.el з електронним баластом, лампа Т5 3х14W</t>
  </si>
  <si>
    <t>l001202</t>
  </si>
  <si>
    <t>Світильник люмінесцентний растровий накладний e.lum.raster.apparent.4.14.el з електронним баластом, лампа Т5 4х14W</t>
  </si>
  <si>
    <t>l001030</t>
  </si>
  <si>
    <t>Світильник люмінесцентний растровий, що вбудовується e.lum.raster.flush.2.20 2х20W</t>
  </si>
  <si>
    <t>l001042</t>
  </si>
  <si>
    <t>Світильник люмінесцентний растровий, що вбудовується e.lum.raster.flush.2.20.b.al 2х20W, спарена ПРА, матовий</t>
  </si>
  <si>
    <t>l001061</t>
  </si>
  <si>
    <t>Світильник люмінесцентний растровий, що вбудовується e.lum.raster.flush.4.20.b.c 4х20W, спарена ПРА, компенсований</t>
  </si>
  <si>
    <t>l001204</t>
  </si>
  <si>
    <t>Світильник люмінесцентний растровий, що вбудовується e.lum.raster.flush.4.20.el з електронним баластом, лампа Т8 4х18W</t>
  </si>
  <si>
    <t>l001206</t>
  </si>
  <si>
    <t>Світильник люмінесцентний растровий, що вбудовується e.lum.raster.flush.4.20.el.opall з електронним баластом, лампа Т8 4х18W, опаловий</t>
  </si>
  <si>
    <t>l001064</t>
  </si>
  <si>
    <t>Світильник люмінесцентний растровий,що вбудовується e.lum.raster.flush.4.20.b.opal, 4х20W, спарена ПРА, опаловий</t>
  </si>
  <si>
    <t>l001200</t>
  </si>
  <si>
    <t>Світильник люмінесцентний растровий, що вбудовується e.lum.raster.flush.3.14.el з електронним баластом, лампа Т5 3х14W</t>
  </si>
  <si>
    <t>l001205</t>
  </si>
  <si>
    <t>Світильник люмінесцентний растровий, що вбудовується e.lum.raster.flush.4.14.el з електронним баластом, лампа Т5 4х14W</t>
  </si>
  <si>
    <t>2.Комплектуючі до растрових світильників</t>
  </si>
  <si>
    <t>l001076</t>
  </si>
  <si>
    <t>Опалова кришка до растрового накладного світильника  e.cover.raster.apparent.4.20.opal</t>
  </si>
  <si>
    <t>l001075</t>
  </si>
  <si>
    <t>Опалова кришка до растрового світильника, що вбудвується e.cover.raster.flush.4.20.opal</t>
  </si>
  <si>
    <t>l001078</t>
  </si>
  <si>
    <t>Решітка до растрового накладного світильника  e.grill.raster.apparent.4.20</t>
  </si>
  <si>
    <t>l001079</t>
  </si>
  <si>
    <t>Решітка до растрового світильника, що вбудовується  e.grill.raster.flush.4.20</t>
  </si>
  <si>
    <t>4.Світильники підвісні</t>
  </si>
  <si>
    <t>1.Блоки ПРА</t>
  </si>
  <si>
    <t>l0520007</t>
  </si>
  <si>
    <t>Блок ПРА e.high.light.2201.empty до підвісних світильників серії 2201, без ПРА</t>
  </si>
  <si>
    <t>l0520005</t>
  </si>
  <si>
    <t>Блок ПРА e.mq.high.light.2201.250 до підвісних світильників серії 2201, ртутний, 250 Вт</t>
  </si>
  <si>
    <t>l0520006</t>
  </si>
  <si>
    <t>Блок ПРА e.mq.high.light.2201.400 до підвісних світильників серії 2201, ртутний, 400 Вт</t>
  </si>
  <si>
    <t>l0520002</t>
  </si>
  <si>
    <t>Блок ПРА e.mh.high.light.2201.400 до підвісних світильників серії 2201, металогалогеновий, 400 Вт</t>
  </si>
  <si>
    <t>l0520003</t>
  </si>
  <si>
    <t>Блок ПРА e.na.high.light.2201.250 до підвісних світильників серії 2201, натрієвий, 250 Вт</t>
  </si>
  <si>
    <t>l0530003</t>
  </si>
  <si>
    <t>Блок ПРА e.na.high.light.2202.250 до підвісних світильників серії 2202, натрієвий, 250 Вт</t>
  </si>
  <si>
    <t>l0520004</t>
  </si>
  <si>
    <t>Блок ПРА e.na.high.light.2201.400 до підвісних світильників серії 2201, натрієвий, 400 Вт</t>
  </si>
  <si>
    <t>l0530004</t>
  </si>
  <si>
    <t>Блок ПРА e.na.high.light.2202.400 до підвісних світильників серії 2202, натрієвий, 400 Вт</t>
  </si>
  <si>
    <t>l0540004</t>
  </si>
  <si>
    <t>Блок ПРА e.na.high.light.2211.400 до підвісних світильників серії 2211, натрієвий, 400 Вт</t>
  </si>
  <si>
    <t>l0510004</t>
  </si>
  <si>
    <t>Корпус світильника підвісного e.save.E27.high.light.2212.400 під енергозберігаючу лампу  E27 до 400 Вт</t>
  </si>
  <si>
    <t>l0510005</t>
  </si>
  <si>
    <t>Корпус світильника підвісного e.save.E40.high.light.2212.400 під енергозберігаючу лампу E40 до 400 Вт</t>
  </si>
  <si>
    <t>2.Алюмінієвий відбивач підвісного світильника</t>
  </si>
  <si>
    <t>l0580001</t>
  </si>
  <si>
    <t>Алюмінієвий відбивач e.high.light.al.refl.485 до світильників серій 2201, 2202, 2211, 485мм</t>
  </si>
  <si>
    <t>l0580003</t>
  </si>
  <si>
    <t>Захисне скло  e.high.light.al.glass.485 до алюмінієвого відбивача до світильників серій 2201, 2202, 2211, 485мм</t>
  </si>
  <si>
    <t>l0590003</t>
  </si>
  <si>
    <t>Захисне скло e.high.light.al.glass.470 до світильника серії 2203, 470 мм</t>
  </si>
  <si>
    <t>l0580004</t>
  </si>
  <si>
    <t>Сталева захисна решітка e.high.light.al.grid.485 до алюмінієвого  відбивача до світильників серій 2201, 2202, 2211, 485мм</t>
  </si>
  <si>
    <t>3.Полікарбонатний розсіювач до серій 2201, 2202, 2211, 2012</t>
  </si>
  <si>
    <t>l0570001</t>
  </si>
  <si>
    <t>З'єднувач блоку ПРА і полікарбонатного розсіювача e.high.light.pc.connect до світильників серій 2201, 2202, 2211</t>
  </si>
  <si>
    <t>l0550001</t>
  </si>
  <si>
    <t>Полікарбонатний розсіювач e.high.light.pc.refl.410 до світильників серій 2201, 2202, 2211, 410мм</t>
  </si>
  <si>
    <t>l0550002</t>
  </si>
  <si>
    <t>Полікарбонатний розсіювач e.high.light.pc.refl.485 до світильників серій 2201, 2202, 2211, 485мм</t>
  </si>
  <si>
    <t>l0560001</t>
  </si>
  <si>
    <t>Кришка до полікарбонатного розсіювача e.high.light.pc.cover.410  для світильників серій 2201, 2202, 2211, 410мм</t>
  </si>
  <si>
    <t>l0560002</t>
  </si>
  <si>
    <t>Кришка до полікарбонатного розсіювача e.high.light.pc.cover.485  для світильників серій 2201, 2202, 2211, 485мм</t>
  </si>
  <si>
    <t>l0560003</t>
  </si>
  <si>
    <t>З'єднувальне кільце до полікарбонатного розсіювача, 410мм</t>
  </si>
  <si>
    <t>l0560004</t>
  </si>
  <si>
    <t>З'єднувальне кільце до кришки полікарбонатного розсіювача e.high.light.pc.cover.ring.485  для світильників серій 2201, 2202, 2211, 485мм</t>
  </si>
  <si>
    <t>4.Світильники підвісні під енергозберігаючу лампу</t>
  </si>
  <si>
    <t>l0510001</t>
  </si>
  <si>
    <t>Світильник підвісний e.save.high.light.01.65 під енергозберігаючу лампу до 65 Вт (плафон-полікарбонат+підвіс)</t>
  </si>
  <si>
    <t>l0510003</t>
  </si>
  <si>
    <t>Світильник підвісний e.save.high.light.03.65 під енергозберігаючу лампу до 65 Вт (плафон-алюміній+ланцюговий підвіс)</t>
  </si>
  <si>
    <t>5.Світильники вологозахищені</t>
  </si>
  <si>
    <t>l002001</t>
  </si>
  <si>
    <t>Світильник e.light.1301.1.60.27.black 60W</t>
  </si>
  <si>
    <t>l002002</t>
  </si>
  <si>
    <t>Світильник e.light.1301.1.60.27.white 60W</t>
  </si>
  <si>
    <t>l002020</t>
  </si>
  <si>
    <t>Світильник e.light.1301.1.100.27.black 100W</t>
  </si>
  <si>
    <t>l002019</t>
  </si>
  <si>
    <t>Світильник e.light.1301.1.100.27.white 100W</t>
  </si>
  <si>
    <t>l002003</t>
  </si>
  <si>
    <t>Світильник e.light.1302.1.60.27.black 60W</t>
  </si>
  <si>
    <t>l002004</t>
  </si>
  <si>
    <t>Світильник e.light.1302.1.60.27.white 60W</t>
  </si>
  <si>
    <t>l002005</t>
  </si>
  <si>
    <t>Світильник e.light.1303.1.60.27.black 60W</t>
  </si>
  <si>
    <t>l002006</t>
  </si>
  <si>
    <t>Світильник e.light.1303.1.60.27.white 60W</t>
  </si>
  <si>
    <t>l002024</t>
  </si>
  <si>
    <t>Світильник e.light.1303.1.100.27.black 100W</t>
  </si>
  <si>
    <t>l002023</t>
  </si>
  <si>
    <t>Світильник e.light.1303.1.100.27.white 100W</t>
  </si>
  <si>
    <t>l002007</t>
  </si>
  <si>
    <t>Світильник e.light.1401.1.60.27.black 60W</t>
  </si>
  <si>
    <t>l002008</t>
  </si>
  <si>
    <t>Світильник e.light.1401.1.60.27.white 60W</t>
  </si>
  <si>
    <t>l002026</t>
  </si>
  <si>
    <t>Світильник e.light.1401.1.100.27.black 100W</t>
  </si>
  <si>
    <t>l002025</t>
  </si>
  <si>
    <t>Світильник e.light.1401.1.100.27.white 100W</t>
  </si>
  <si>
    <t>l002010</t>
  </si>
  <si>
    <t>Світильник e.light.1402.1.60.27.white 60W</t>
  </si>
  <si>
    <t>l002028</t>
  </si>
  <si>
    <t>Світильник e.light.1402.1.100.27.black 100W</t>
  </si>
  <si>
    <t>l002011</t>
  </si>
  <si>
    <t>Світильник e.light.1403.1.60.27.black 60W</t>
  </si>
  <si>
    <t>l002012</t>
  </si>
  <si>
    <t>Світильник e.light.1403.1.60.27.white 60W</t>
  </si>
  <si>
    <t>l002030</t>
  </si>
  <si>
    <t>Світильник e.light.1403.1.100.27.black 100W</t>
  </si>
  <si>
    <t>l002029</t>
  </si>
  <si>
    <t>Світильник e.light.1403.1.100.27.white 100W</t>
  </si>
  <si>
    <t>l002013</t>
  </si>
  <si>
    <t>Світильник e.light.1701.1.60.27.black 60W</t>
  </si>
  <si>
    <t>l002031</t>
  </si>
  <si>
    <t>Світильник e.light.9017.1.60.27.black 60W</t>
  </si>
  <si>
    <t>l002033</t>
  </si>
  <si>
    <t>Світильник e.light.9017.1.100.27.black 100W</t>
  </si>
  <si>
    <t>l002035</t>
  </si>
  <si>
    <t>Світильник e.light.9018.1.60.27.black 60W</t>
  </si>
  <si>
    <t>l002043</t>
  </si>
  <si>
    <t>Світильник e.light.9022.1.60.27.black 60W</t>
  </si>
  <si>
    <t>l002052</t>
  </si>
  <si>
    <t>Світильник e.light.9024.1.60.27.white 60W</t>
  </si>
  <si>
    <t>l002059</t>
  </si>
  <si>
    <t>Світильник e.light.sauna.1.60.27.white,  Е27,60Вт,IP54, корпус керамічний, термостійкий, білий</t>
  </si>
  <si>
    <t>6.Світильники переносні</t>
  </si>
  <si>
    <t>l0670002</t>
  </si>
  <si>
    <t>Світильник переносний e.light.move.e27.10.orange, E27, 10метрів, помаранч</t>
  </si>
  <si>
    <t>l0670102</t>
  </si>
  <si>
    <t>Світильник переносний 10м у комплекті з LED-лампою 10Вт e.light.move.e27.10.orange Акція</t>
  </si>
  <si>
    <t>l0670001</t>
  </si>
  <si>
    <t>Світильник переносний e.light.move.e27.5.orange, E27, 5метрів, помаранч</t>
  </si>
  <si>
    <t>l0670101</t>
  </si>
  <si>
    <t>Світильник переносний 5м у комплекті з LED-лампою 10Вт e.light.move.e27.5.orange Акція</t>
  </si>
  <si>
    <t>7.Світильники типу Куля</t>
  </si>
  <si>
    <t>1.Куля в зборі (перекид)</t>
  </si>
  <si>
    <t>l0120131</t>
  </si>
  <si>
    <t>Світильник e.street.light.150.opal типу "Куля" опаловий, Е27</t>
  </si>
  <si>
    <t>l0120031</t>
  </si>
  <si>
    <t>Світильник e.street.light.200.opal типу "Куля" опаловий, Е27</t>
  </si>
  <si>
    <t>l0120033</t>
  </si>
  <si>
    <t>Світильник e.street.light.250.opal типу "Куля" опаловий, Е27</t>
  </si>
  <si>
    <t>l0120035</t>
  </si>
  <si>
    <t>Світильник e.street.light.300.opal типу "Куля" опаловий, Е27</t>
  </si>
  <si>
    <t>l0120135</t>
  </si>
  <si>
    <t>Світильник e.street.light.350.opal типу "Куля" опаловий, Е27</t>
  </si>
  <si>
    <t>l0120039</t>
  </si>
  <si>
    <t>Світильник e.street.light.400.opal типу "Куля" опаловий, Е27</t>
  </si>
  <si>
    <t>l0120045</t>
  </si>
  <si>
    <t>Світильник e.street.light.150.L3.opal (black) типу "Куля" опаловий, Е27, основа чорна</t>
  </si>
  <si>
    <t>l0120012</t>
  </si>
  <si>
    <t>Плафон - куля e.street.light.sphere.150.opal.screw, опаловий, D150мм, основа - різьбове</t>
  </si>
  <si>
    <t>8.Прожектори</t>
  </si>
  <si>
    <t>1.Прожектори під галогенні лампи серії E.LIGHT</t>
  </si>
  <si>
    <t>l003001</t>
  </si>
  <si>
    <t>Світильник e.halogen.150.white 150Вт білий прожектор</t>
  </si>
  <si>
    <t>l003002</t>
  </si>
  <si>
    <t>Світильник e.halogen.150.black 150Вт, чорний прожектор</t>
  </si>
  <si>
    <t>l003003</t>
  </si>
  <si>
    <t>Світильник e.halogen.500.white 500Вт, білий прожектор</t>
  </si>
  <si>
    <t>l003004</t>
  </si>
  <si>
    <t>Світильник e.halogen.500.black 500Вт, чорний прожектор</t>
  </si>
  <si>
    <t>l003005</t>
  </si>
  <si>
    <t>Світильник e.halogen.1000.white 1000Вт, білий прожектор</t>
  </si>
  <si>
    <t>l003006</t>
  </si>
  <si>
    <t>Світильник e.halogen.1000.black 1000Вт, чорний прожектор</t>
  </si>
  <si>
    <t>l003008</t>
  </si>
  <si>
    <t>Світильник e.halogen.1500.black 1500Вт, чорний прожектор</t>
  </si>
  <si>
    <t>l003009</t>
  </si>
  <si>
    <t>Світильник e.halogen.move.150.white 150Вт, білий прожектор з датчиком руху</t>
  </si>
  <si>
    <t>l003010</t>
  </si>
  <si>
    <t>Світильник e.halogen.move.150.black 150Вт, чорний прожектор з датчиком руху</t>
  </si>
  <si>
    <t>l003011</t>
  </si>
  <si>
    <t>Світильник e.halogen.move.500.white 500Вт, білий прожектор з датчиком руху</t>
  </si>
  <si>
    <t>l003012</t>
  </si>
  <si>
    <t>Світильник e.halogen.move.500.black 500Вт, чорний прожектор з датчиком руху</t>
  </si>
  <si>
    <t>l0140001</t>
  </si>
  <si>
    <t>Прожектор під галогенну лампу e.halogen.base.150, переносний, червоний, 150Вт</t>
  </si>
  <si>
    <t>l0140002</t>
  </si>
  <si>
    <t>Прожектор під галогенну лампу e.halogen.base.500, переносний, червоний, 500Вт</t>
  </si>
  <si>
    <t>l0140004</t>
  </si>
  <si>
    <t>Стійка металева для прожекторів e.halogen.base.2.150.500, (на 2 прожектори по 150 Вт або 500Вт), червона</t>
  </si>
  <si>
    <t>l0400003</t>
  </si>
  <si>
    <t>Захисна решітка e.halogen.grill.1000 до прожектора 1000 Вт</t>
  </si>
  <si>
    <t>l0400001</t>
  </si>
  <si>
    <t>Захисна решітка e.halogen.grill.150 до прожектора 150 Вт</t>
  </si>
  <si>
    <t>2.Прожектори під ГРЛ серії E.LIGHT</t>
  </si>
  <si>
    <t>l008008</t>
  </si>
  <si>
    <t>Світильник під металогалогенову лампу e.mh.light.2001.70 70Вт, r7s, без лампи</t>
  </si>
  <si>
    <t>l008009</t>
  </si>
  <si>
    <t>Світильник під металогалогенову лампу e.mh.light.2001.150 150Вт, r7s, без лампи</t>
  </si>
  <si>
    <t>l008001</t>
  </si>
  <si>
    <t>Світильник під металогалогенову лампу e.mh.light.2002.150.black, 150Вт, чорний</t>
  </si>
  <si>
    <t>l008002</t>
  </si>
  <si>
    <t>Світильник під металогалогенову лампу e.mh.light.2002.150.white, 150Вт, білий</t>
  </si>
  <si>
    <t>l008003</t>
  </si>
  <si>
    <t>Світильник під металогалогенову лампу e.mh.light.2003.250.black, 250Вт, чорний</t>
  </si>
  <si>
    <t>l008005</t>
  </si>
  <si>
    <t>Світильник під металогалогенову лампу e.mh.light.2003.400.black, 400Вт, чорний</t>
  </si>
  <si>
    <t>l008010</t>
  </si>
  <si>
    <t>Світильник під металогалогенову лампу e.mh.light.2004.250 250Вт, Е40, симетричний, без лампи</t>
  </si>
  <si>
    <t>l008011</t>
  </si>
  <si>
    <t>Світильник під металогалогенову лампу e.mh.light.2004.400 400Вт, Е40, симетричний, без лампи</t>
  </si>
  <si>
    <t>l0600001</t>
  </si>
  <si>
    <t>Світильник під натрієву лампу e.na.light.2003.250 250Вт, Е40, без лампи</t>
  </si>
  <si>
    <t>l0600002</t>
  </si>
  <si>
    <t>Світильник під натрієву лампу e.na.light.2003.400 400Вт, Е40, без лампи</t>
  </si>
  <si>
    <t>l0600003</t>
  </si>
  <si>
    <t>Світильник під натрієву лампу e.na.light.2004.250 250Вт, Е40, без лампи, симетричний</t>
  </si>
  <si>
    <t>l0600004</t>
  </si>
  <si>
    <t>Світильник під натрієву лампу e.na.light.2004.400 400Вт, Е40, без лампи, симетричний</t>
  </si>
  <si>
    <t>l008004</t>
  </si>
  <si>
    <t>Світильник під металогалогенову лампу e.mh.light.2003.250, 250Вт</t>
  </si>
  <si>
    <t>3.Прожектори під енергозберігаючі лампи серії E.SAVE.LIGHT</t>
  </si>
  <si>
    <t>l0700001</t>
  </si>
  <si>
    <t>Прожектор e.save.light.2e27.1000.black під енергозберігаючу лампу, 2 патрона Е27, чорний</t>
  </si>
  <si>
    <t>l0700002</t>
  </si>
  <si>
    <t>Прожектор з датчиком руху e.save.light.2e27move.1000.black під енергозберігаючу лампу, 2 патрона Е27, чорний</t>
  </si>
  <si>
    <t>9.Аварійне світло</t>
  </si>
  <si>
    <t>1.Аварійні світильники та блоки</t>
  </si>
  <si>
    <t>l0660001</t>
  </si>
  <si>
    <t>Світильник аварійний підвісний e.emerg.297.led.M.6h.IP20, постійний, 6 годин</t>
  </si>
  <si>
    <t>l0660041</t>
  </si>
  <si>
    <t>Світильник аварійний e.emerg.500L.led.M.3h.IP65, постійний, 3 години</t>
  </si>
  <si>
    <t>l0660030</t>
  </si>
  <si>
    <t>Світильник аварійний e.emerg.506L.led.NM.3h.IP20, не постійний, 3 години</t>
  </si>
  <si>
    <t>l0660040</t>
  </si>
  <si>
    <t>Світильник аварійний e.emerg.507L.led.NM.3h.IP65, не постійний, 3 години</t>
  </si>
  <si>
    <t>l0660061</t>
  </si>
  <si>
    <t>Блок аварійного живлення e.emerg.kit.44.led.new, Led, 1,5 години</t>
  </si>
  <si>
    <t>l0660050</t>
  </si>
  <si>
    <t>Блок аварійного живлення e.emerg.kit.500.fl, 18-40Вт, T8 люм, 1,5 години</t>
  </si>
  <si>
    <t>2.Піктограми до аварійних світильників</t>
  </si>
  <si>
    <t>l0660070</t>
  </si>
  <si>
    <t>Піктограма "ВИХІД" для аварійних світильників 506,506L,507L e.pict.exit.225.80</t>
  </si>
  <si>
    <t>l0660081</t>
  </si>
  <si>
    <t>Піктограма "Стрілка наліво" для аварійних світильників 506,506L,507L e.pict.left.225.80</t>
  </si>
  <si>
    <t>l0660080</t>
  </si>
  <si>
    <t>Піктограма "Стрілка направо" для аварійних світильників 506,506L,507L e.pict.right.225.80</t>
  </si>
  <si>
    <t>l0660082</t>
  </si>
  <si>
    <t>Піктограма "Стрілка донизу" для аварійних світильників 506,506L,507L e.pict.down.225.80</t>
  </si>
  <si>
    <t>l0660085</t>
  </si>
  <si>
    <t>Піктограма "ПГ" для аварійних світильників 506,506L,507L e.pict.pg.225.80</t>
  </si>
  <si>
    <t>l0660084</t>
  </si>
  <si>
    <t>Піктограма "ПК" для аварійних світильників 506,506L,507L e.pict.pk.225.80</t>
  </si>
  <si>
    <t>l0660073</t>
  </si>
  <si>
    <t>Піктограма "ВХІД" для аварійних світильників 506,506L,507L e.pict.entr.225.80</t>
  </si>
  <si>
    <t>l0660083</t>
  </si>
  <si>
    <t>Піктограма "INFORMATION" для аварійних світильників 506,506L,507L e.pict.inform.225.80</t>
  </si>
  <si>
    <t>l0660074</t>
  </si>
  <si>
    <t>Піктограма "ВИХІД" для аварійних світильників 500 e.pict.exit.310.100</t>
  </si>
  <si>
    <t>l0660295</t>
  </si>
  <si>
    <t>Піктограма "ПК" для аварійних світильників 500 e.pict.pk.310.100</t>
  </si>
  <si>
    <t>l0660072</t>
  </si>
  <si>
    <t>Піктограма "ВИХІД" для аварійних світильників 297 e.pict.exit.280.95</t>
  </si>
  <si>
    <t>l0660087</t>
  </si>
  <si>
    <t>Піктограма "Стрілка наліво" для аварійних світильників 297 e.pict.left.280.95</t>
  </si>
  <si>
    <t>l0660086</t>
  </si>
  <si>
    <t>Піктограма "Стрілка направо" для аварійних світильників 297 e.pict.right.280.95</t>
  </si>
  <si>
    <t>l0660071</t>
  </si>
  <si>
    <t>Піктограма "ВИХІД" для аварійних світильників 502 e.pict.exit.320.100</t>
  </si>
  <si>
    <t>10.Світильники інших ТМ</t>
  </si>
  <si>
    <t>l0012011</t>
  </si>
  <si>
    <t>Світильник НСП 21У (без реш.) 100 Вт IP54</t>
  </si>
  <si>
    <t>l0012012</t>
  </si>
  <si>
    <t>Світильник НСП 21У (без реш.) 200 Вт IP54</t>
  </si>
  <si>
    <t>l0012013</t>
  </si>
  <si>
    <t>Світильник НСП 21У (з реш.) 100 Вт IP54</t>
  </si>
  <si>
    <t>l0012001</t>
  </si>
  <si>
    <t>Світильник НББ20У-60 “Дельта-2А” (РОНДО) поліпропілен 60Вт</t>
  </si>
  <si>
    <t>250468</t>
  </si>
  <si>
    <t>Свiт-к пром._MAGNUM_WPF 2x36W (IP65)</t>
  </si>
  <si>
    <t>2.Лампи</t>
  </si>
  <si>
    <t>1.Лампи світлодіодні LED</t>
  </si>
  <si>
    <t>1.Лампи світлодіодні e.LED.lamp</t>
  </si>
  <si>
    <t>l0650607</t>
  </si>
  <si>
    <t>Лампа світлодіодна e.LED.lamp.A60.E27.7.3000, 7Вт, 3000К</t>
  </si>
  <si>
    <t>l0650608</t>
  </si>
  <si>
    <t>Лампа світлодіодна e.LED.lamp.A60.E27.7.4000, 7Вт, 4000К</t>
  </si>
  <si>
    <t>l0650605</t>
  </si>
  <si>
    <t>Лампа світлодіодна e.LED.lamp.A60.E27.10.3000, 10Вт, 3000К</t>
  </si>
  <si>
    <t>l0650606</t>
  </si>
  <si>
    <t>Лампа світлодіодна e.LED.lamp.A60.E27.10.4000, 10Вт, 4000К</t>
  </si>
  <si>
    <t>l0650603</t>
  </si>
  <si>
    <t>Лампа світлодіодна e.LED.lamp.A60.E27.12.3000, 12Вт, 3000К</t>
  </si>
  <si>
    <t>l0650604</t>
  </si>
  <si>
    <t>Лампа світлодіодна e.LED.lamp.A60.E27.12.4000, 12Вт, 4000К</t>
  </si>
  <si>
    <t>l0650601</t>
  </si>
  <si>
    <t>Лампа світлодіодна e.LED.lamp.A70.E27.15.3000, 15Вт, 3000К</t>
  </si>
  <si>
    <t>l0650602</t>
  </si>
  <si>
    <t>Лампа світлодіодна e.LED.lamp.A70.E27.15.4000, 15Вт, 4000К</t>
  </si>
  <si>
    <t>l0650609</t>
  </si>
  <si>
    <t>Лампа світлодіодна e.LED.lamp.P45.E14.6.3000, 6Вт, 3000К</t>
  </si>
  <si>
    <t>l0650610</t>
  </si>
  <si>
    <t>Лампа світлодіодна e.LED.lamp.P45.E14.6.4000, 6Вт, 4000К</t>
  </si>
  <si>
    <t>l0650622</t>
  </si>
  <si>
    <t>Лампа світлодіодна e.LED.lamp.P45.E27.6.3000, 6Вт, 3000К</t>
  </si>
  <si>
    <t>l0650623</t>
  </si>
  <si>
    <t>Лампа світлодіодна e.LED.lamp.P45.E27.6.4000, 6Вт, 4000К</t>
  </si>
  <si>
    <t>l0650611</t>
  </si>
  <si>
    <t>Лампа світлодіодна e.LED.lamp.B35.E14.6.3000, 6Вт, 3000К</t>
  </si>
  <si>
    <t>l0650612</t>
  </si>
  <si>
    <t>Лампа світлодіодна e.LED.lamp.B35.E14.6.4000, 6Вт, 4000К</t>
  </si>
  <si>
    <t>l0650618</t>
  </si>
  <si>
    <t>Лампа світлодіодна e.LED.lamp.R39.E14.4.3000, 4Вт, 3000К</t>
  </si>
  <si>
    <t>l0650619</t>
  </si>
  <si>
    <t>Лампа світлодіодна e.LED.lamp.R39.E14.4.4000, 4Вт, 4000К</t>
  </si>
  <si>
    <t>l0650617</t>
  </si>
  <si>
    <t>Лампа світлодіодна e.LED.lamp.R50.E14.6.4000, 6Вт, 4000К</t>
  </si>
  <si>
    <t>l0650615</t>
  </si>
  <si>
    <t>Лампа світлодіодна e.LED.lamp.R63.E27.10.3000, 10К, 3000К</t>
  </si>
  <si>
    <t>l0650616</t>
  </si>
  <si>
    <t>Лампа світлодіодна e.LED.lamp.R63.E27.10.4000, 10Вт,4000К</t>
  </si>
  <si>
    <t>l0650613</t>
  </si>
  <si>
    <t>Лампа світлодіодна e.LED.lamp.GU10.5.3000, 5Вт, 3000К</t>
  </si>
  <si>
    <t>l0650614</t>
  </si>
  <si>
    <t>Лампа світлодіодна e.LED.lamp.GU10.5.4000, 5Вт, 4000К</t>
  </si>
  <si>
    <t>l0650620</t>
  </si>
  <si>
    <t>Лампа світлодіодна e.LED.lamp.HP.E27.28.6000, 28Вт, 6000К</t>
  </si>
  <si>
    <t>l0650621</t>
  </si>
  <si>
    <t>Лампа світлодіодна e.LED.lamp.HP.E27.50.6000, 50Вт, 6000К</t>
  </si>
  <si>
    <t>2.Лампи світлодіодні e.save.LED.Eco лінійні</t>
  </si>
  <si>
    <t>l0650512</t>
  </si>
  <si>
    <t>Лампа світлодіодна лінійна LED.Tube.T8.60.G13.9.4500.Glass, 9Вт, 4500К</t>
  </si>
  <si>
    <t>l0650516</t>
  </si>
  <si>
    <t>Лампа світлодіодна лінійна LED.Tube.T8.60.G13.9.6500.Glass, 9Вт, 6500К</t>
  </si>
  <si>
    <t>l0650513</t>
  </si>
  <si>
    <t>Лампа світлодіодна лінійна LED.Tube.T8.120.G13.18.4500.Glass, 18Вт, 4500К</t>
  </si>
  <si>
    <t>l0650517</t>
  </si>
  <si>
    <t>Лампа світлодіодна лінійна LED.Tube.T8.120.G13.18.6500.Glass, 18Вт, 6500К</t>
  </si>
  <si>
    <t>l0650519</t>
  </si>
  <si>
    <t>Лампа світлодіодна лінійна e.save.LED.Eco.T8.60.G13.9.6500, під патрон G13, довжина 60см, 9Вт, 6500К</t>
  </si>
  <si>
    <t>l0650520</t>
  </si>
  <si>
    <t>Лампа світлодіодна лінійна e.save.LED.Eco.T8.120.G13.18.6500, під патрон G13, довжина 120см, 18Вт, 6500К</t>
  </si>
  <si>
    <t>l0650511</t>
  </si>
  <si>
    <t>Лампа світлодіодна лінійна e.save.LED.Eco.T8.150.G13.24.6500, під патрон G13, довжина 150см, 24Вт, 6500К</t>
  </si>
  <si>
    <t>l0650509</t>
  </si>
  <si>
    <t>Лампа світлодіодна лінійна e.save.LED.Eco.T8.60.G13.10.6500, під патрон G13, довжина 60см, 10Вт, 6500К</t>
  </si>
  <si>
    <t>l0650501</t>
  </si>
  <si>
    <t>Лампа світлодіодна  лінійна e.save.LED.T8A60.G13.9.5400, під патрон G13, довжина 60см, 9Вт, 5400К</t>
  </si>
  <si>
    <t>l0650502</t>
  </si>
  <si>
    <t>Лампа світлодіодна  лінійна e.save.LED.T8A120.G13.18.5400, під патрон G13, довжина 120см, 18Вт, 5400К</t>
  </si>
  <si>
    <t>3.Лампи світлодіодні e.save.LED.Pro лінійні</t>
  </si>
  <si>
    <t>l0650522</t>
  </si>
  <si>
    <t>Лампа світлодіодна  лінійна, e.save.LED.Pro.T8.60.G13.9.4200, під патрон G13, довжина 60см, 9Вт, 4200К</t>
  </si>
  <si>
    <t>l0650523</t>
  </si>
  <si>
    <t>Лампа світлодіодна  лінійна, e.save.LED.Pro.T8.60.G13.9.6500, під патрон G13, довжина 60см, 9Вт, 6500К</t>
  </si>
  <si>
    <t>l0650526</t>
  </si>
  <si>
    <t>Лампа світлодіодна  лінійна e.save.LED.Pro.T8.90.G13.12.4200, під патрон G13, довжина 90см, 12Вт, 4200К</t>
  </si>
  <si>
    <t>l0650527</t>
  </si>
  <si>
    <t>Лампа світлодіодна  лінійна e.save.LED.Pro.T8.90.G13.12.6500, під патрон G13, довжина 90см, 12Вт, 6500К</t>
  </si>
  <si>
    <t>l0650530</t>
  </si>
  <si>
    <t>Лампа світлодіодна  лінійна e.save.LED.Pro.T8.120.G13.18.4200, під патрон G13, довжина 120см, 18Вт, 4200К</t>
  </si>
  <si>
    <t>l0650531</t>
  </si>
  <si>
    <t>Лампа світлодіодна  лінійна e.save.LED.Pro.T8.120.G13.18.6500, під патрон G13, довжина 120см, 18Вт, 6500К</t>
  </si>
  <si>
    <t>4.Лампи світлодіодні e.save.LED (акція)</t>
  </si>
  <si>
    <t>l0650315</t>
  </si>
  <si>
    <t>Лампа світлодіодна e.save.LED.G50C.E27.3.2700  тип куля, 3Вт, 2700К, Е27</t>
  </si>
  <si>
    <t>l0650316</t>
  </si>
  <si>
    <t>Лампа світлодіодна e.save.LED.G50C.E27.3.4200  тип куля, 3Вт, 4200К, Е27</t>
  </si>
  <si>
    <t>l0650021</t>
  </si>
  <si>
    <t>Лампа світлодіодна MR16 e.save.LED.GU.10.20.3.2700 20лед, 3Вт, 2700К</t>
  </si>
  <si>
    <t>l0650022</t>
  </si>
  <si>
    <t>Лампа світлодіодна MR16 e.save.LED.GU.10.20.3.6000 20лед, 3Вт, 6000К</t>
  </si>
  <si>
    <t>l0650411</t>
  </si>
  <si>
    <t>Лампа світлодіодна  e.save.LED.R50B.E14.6.2700, під патрон E14, 6Вт, 2700К</t>
  </si>
  <si>
    <t>2.Лампи енергозберігаючі</t>
  </si>
  <si>
    <t>1.Лампи енергозберігаючі E.NEXT</t>
  </si>
  <si>
    <t>0160001</t>
  </si>
  <si>
    <t>Лампа енергозберігаюча e.save.2U.E14.3.2700, тип 2U, патрон Е14, 3W, 2700 К</t>
  </si>
  <si>
    <t>0170001</t>
  </si>
  <si>
    <t>Лампа енергозберігаюча e.save.2U.E14.3.4200, тип 2U, патрон Е14, 3W, 4200 К</t>
  </si>
  <si>
    <t>0160002</t>
  </si>
  <si>
    <t>Лампа енергозберігаюча e.save.2U.E14.5.2700, тип 2U, патрон Е14, 5W, 2700 К</t>
  </si>
  <si>
    <t>0170003</t>
  </si>
  <si>
    <t>Лампа енергозберігаюча e.save.2U.E14.9.4200, тип 2U, патрон Е14, 9W, 4200 К</t>
  </si>
  <si>
    <t>0160004</t>
  </si>
  <si>
    <t>Лампа енергозберігаюча e.save.2U.E14.13.2700, тип 2U, патрон Е14, 13W, 2700 К</t>
  </si>
  <si>
    <t>0180003</t>
  </si>
  <si>
    <t>Лампа енергозберігаюча e.save.2U.E14.13.6400, тип 2U, патрон Е14, 13W, 6400 К</t>
  </si>
  <si>
    <t>0160009</t>
  </si>
  <si>
    <t>Лампа енергозберігаюча e.save.2U.E27.18.2700, тип 2U, патрон Е27, 18W, 2700 К</t>
  </si>
  <si>
    <t>0170009</t>
  </si>
  <si>
    <t>Лампа енергозберігаюча e.save.2U.E27.18.4200, тип 2U, патрон Е27, 18W, 4200 К</t>
  </si>
  <si>
    <t>l0190001</t>
  </si>
  <si>
    <t>Лампа енергозберігаюча e.save.3U.E14.5.2700, тип 3U, патрон Е14, 5W, 2700 К</t>
  </si>
  <si>
    <t>l0200001</t>
  </si>
  <si>
    <t>Лампа енергозберігаюча e.save.3U.E14.5.4200, тип 3U, патрон Е14, 5W, 4200 К</t>
  </si>
  <si>
    <t>l0210001</t>
  </si>
  <si>
    <t>Лампа енергозберігаюча e.save.3U.E14.5.6400, тип 3U, патрон Е14, 5W, 6400 К</t>
  </si>
  <si>
    <t>l0190002</t>
  </si>
  <si>
    <t>Лампа енергозберігаюча e.save.3U.E14.7.2700, тип 3U, патрон Е14, 7W, 2700 К</t>
  </si>
  <si>
    <t>l0200002</t>
  </si>
  <si>
    <t>Лампа енергозберігаюча e.save.3U.E14.7.4200, тип 3U, патрон Е14, 7W, 4200 К</t>
  </si>
  <si>
    <t>l0210002</t>
  </si>
  <si>
    <t>Лампа енергозберігаюча e.save.3U.E14.7.6400, тип 3U, патрон Е14, 7W, 6400 К</t>
  </si>
  <si>
    <t>l0190007</t>
  </si>
  <si>
    <t>Лампа енергозберігаюча e.save.3U.E14.18.2700, тип 3U, патрон Е14, 18W, 2700 К</t>
  </si>
  <si>
    <t>l0230001</t>
  </si>
  <si>
    <t>Лампа енергозберігаюча e.save.4U.E14.11.4200, тип 4U, патрон Е14, 11W, 4200 К</t>
  </si>
  <si>
    <t>l0230003</t>
  </si>
  <si>
    <t>Лампа енергозберігаюча e.save.4U.E14.15.4200, тип 4U, патрон Е14, 15W, 4200 К</t>
  </si>
  <si>
    <t>l0220002</t>
  </si>
  <si>
    <t>Лампа енергозберігаюча e.save.4U.E27.11.2700, тип 4U, патрон Е27, 11W, 2700 К</t>
  </si>
  <si>
    <t>l0230002</t>
  </si>
  <si>
    <t>Лампа енергозберігаюча e.save.4U.E27.11.4200, тип 4U, патрон Е27, 11W, 4200 К</t>
  </si>
  <si>
    <t>l0240002</t>
  </si>
  <si>
    <t>Лампа енергозберігаюча e.save.4U.E27.11.6400, тип 4U, патрон Е27, 11W, 6400 К</t>
  </si>
  <si>
    <t>l0380003</t>
  </si>
  <si>
    <t>Лампа енергозберігаюча e.save.5U.E40.85.4200, тип 5U, патрон Е40, 85W, 4200 К</t>
  </si>
  <si>
    <t>l0380002</t>
  </si>
  <si>
    <t>Лампа енергозберігаюча e.save.5U.E40.105.4200, тип 5U, патрон Е40, 105W, 4200 К</t>
  </si>
  <si>
    <t>l0330001</t>
  </si>
  <si>
    <t>Лампа енергозберігаюча e.save.candle.E14.7.2700, тип candle, патрон Е14, 7W, 2700 К</t>
  </si>
  <si>
    <t>l0340001</t>
  </si>
  <si>
    <t>Лампа енергозберігаюча e.save.candle.E14.7.4200, тип candle, патрон Е14, 7W, 4200 К</t>
  </si>
  <si>
    <t>l0330002</t>
  </si>
  <si>
    <t>Лампа енергозберігаюча e.save.candle.E14.11.2700, тип candle, патрон Е14, 11W, 2700 К</t>
  </si>
  <si>
    <t>l0640001</t>
  </si>
  <si>
    <t>Лампа енергозберігаюча e.save.flame.E14.8.4200.t2, тип flame, патрон Е14, 8W, 4200 К, колба Т2</t>
  </si>
  <si>
    <t>l0640003</t>
  </si>
  <si>
    <t>Лампа енергозберігаюча e.save.flame.E14.11.4200, тип flame, патрон Е14, 11W, 4200 К</t>
  </si>
  <si>
    <t>l0300001</t>
  </si>
  <si>
    <t>Лампа енергозберігаюча e.save.flower.E14.7.2700, тип flower, патрон Е14, 7W, 2700 К</t>
  </si>
  <si>
    <t>l0310001</t>
  </si>
  <si>
    <t>Лампа енергозберігаюча e.save.flower.E14.7.4200, тип flower, патрон Е14, 7W, 4200 К</t>
  </si>
  <si>
    <t>l0310003</t>
  </si>
  <si>
    <t>Лампа енергозберігаюча e.save.flower.E14.11.4200, тип flower, патрон Е14, 11W, 4200 К</t>
  </si>
  <si>
    <t>l0320003</t>
  </si>
  <si>
    <t>Лампа енергозберігаюча e.save.flower.E14.11.6400, тип flower, патрон Е14, 11W, 6400 К</t>
  </si>
  <si>
    <t>l0310005</t>
  </si>
  <si>
    <t>Лампа енергозберігаюча e.save.flower.E14.15.4200, тип flower, патрон Е14, 15W, 4200 К</t>
  </si>
  <si>
    <t>l0300007</t>
  </si>
  <si>
    <t>Лампа енергозберігаюча e.save.flower.E14.20.2700, тип flower, патрон Е14, 20W, 2700 К</t>
  </si>
  <si>
    <t>l0320002</t>
  </si>
  <si>
    <t>Лампа енергозберігаюча e.save.flower.E27.7.6400, тип flower, патрон Е27, 7W, 6400 К</t>
  </si>
  <si>
    <t>l0320004</t>
  </si>
  <si>
    <t>Лампа енергозберігаюча e.save.flower.E27.11.6400, тип flower, патрон Е27, 11W, 6400 К</t>
  </si>
  <si>
    <t>l0290006</t>
  </si>
  <si>
    <t>Лампа енергозберігаюча e.save.globe.E14.8.4200.t2, тип globe, патрон Е14, 8W, 4200 К, колба T2</t>
  </si>
  <si>
    <t>l0290004</t>
  </si>
  <si>
    <t>Лампа енергозберігаюча e.save.globe.E14.11.4200, тип globe, патрон Е14, 11W, 4200 К</t>
  </si>
  <si>
    <t>l0350006</t>
  </si>
  <si>
    <t>Лампа енергозберігаюча e.save.mr16.g5.3.11.2700, тип mr16, патрон gu5.3, 11W, 2700 K</t>
  </si>
  <si>
    <t>l0360007</t>
  </si>
  <si>
    <t>Лампа енергозберігаюча e.save.mr16.g5.3.11.4200, тип mr16, патрон gu5.3, 11W, 4200 К</t>
  </si>
  <si>
    <t>l0350003</t>
  </si>
  <si>
    <t>Лампа енергозберігаюча e.save.PAR38.E27.15.2700, тип PAR38, патрон Е27, 15W, 2700 К</t>
  </si>
  <si>
    <t>l0360003</t>
  </si>
  <si>
    <t>Лампа енергозберігаюча e.save.PAR38.E27.15.4200, тип PAR38, патрон Е27, 15W, 4200 К</t>
  </si>
  <si>
    <t>l0350004</t>
  </si>
  <si>
    <t>Лампа енергозберігаюча e.save.PAR38.E27.20.2700, тип PAR38, патрон Е27, 20W, 2700 К</t>
  </si>
  <si>
    <t>l0360004</t>
  </si>
  <si>
    <t>Лампа енергозберігаюча e.save.PAR38.E27.20.4200, тип PAR38, патрон Е27, 20W, 4200 К</t>
  </si>
  <si>
    <t>l0360006</t>
  </si>
  <si>
    <t>Лампа енергозберігаюча e.save.R50.E14.11.4200, тип R50, патрон Е14, 11W, 4200 К</t>
  </si>
  <si>
    <t>l0360008</t>
  </si>
  <si>
    <t>Лампа енергозберігаюча e.save.R50.E14.11.4200.new, тип R50, патрон Е14, 11W, 4200 К</t>
  </si>
  <si>
    <t>l0350002</t>
  </si>
  <si>
    <t>Лампа енергозберігаюча e.save.R80.E27.15.2700, тип R80, патрон Е27, 15W, 2700 К</t>
  </si>
  <si>
    <t>l0260017</t>
  </si>
  <si>
    <t>Лампа енергозберігаюча e.save.screw.E14.5.4200.T2, тип screw, патрон Е14, 5W, 4200 К, колба Т2</t>
  </si>
  <si>
    <t>l0250001</t>
  </si>
  <si>
    <t>Лампа енергозберігаюча e.save.screw.E14.7.2700, тип screw, патрон Е14, 7W, 2700 К</t>
  </si>
  <si>
    <t>l0250019</t>
  </si>
  <si>
    <t>Лампа енергозберігаюча e.save.screw.E14.9.2700.T2, тип screw, патрон Е14, 9W, 2700 К, колба Т2</t>
  </si>
  <si>
    <t>l0260021</t>
  </si>
  <si>
    <t>Лампа енергозберігаюча e.save.screw.E14.9.4200.T2, тип screw, патрон Е14, 9W, 4200 К, колба Т2</t>
  </si>
  <si>
    <t>l0250032</t>
  </si>
  <si>
    <t>Лампа енергозберігаюча e.save.screw.E14.11.2700.T2, тип screw, патрон Е14, 11W, 2700 К, колба Т2</t>
  </si>
  <si>
    <t>l0260035</t>
  </si>
  <si>
    <t>Лампа енергозберігаюча e.save.screw.E14.11.4200.T2, тип screw, патрон Е14, 11W, 4200 К, колба Т2</t>
  </si>
  <si>
    <t>l0250028</t>
  </si>
  <si>
    <t>Лампа енергозберігаюча e.save.screw.E14.13.2700.T2, тип screw, патрон Е14, 13W, 2700 К, колба Т2</t>
  </si>
  <si>
    <t>l0260030</t>
  </si>
  <si>
    <t>Лампа енергозберігаюча e.save.screw.E14.13.4200.T2, тип screw, патрон Е14, 13W, 4200 К, колба Т2</t>
  </si>
  <si>
    <t>l0250016</t>
  </si>
  <si>
    <t>Лампа енергозберігаюча e.save.screw.E14.15.2700, тип screw, патрон Е14, 15W, 2700 К, колба T3</t>
  </si>
  <si>
    <t>l0250030</t>
  </si>
  <si>
    <t>Лампа енергозберігаюча e.save.screw.E14.15.2700,T2 тип screw, патрон Е14, 15W, 2700 К, колба T2</t>
  </si>
  <si>
    <t>l0260016</t>
  </si>
  <si>
    <t>Лампа енергозберігаюча e.save.screw.E14.15.4200, тип screw, патрон Е14, 15W, 4200 К, колба T3</t>
  </si>
  <si>
    <t>l0260036</t>
  </si>
  <si>
    <t>Лампа енергозберігаюча e.save.screw.E14.15.4200,T2 тип screw, патрон Е14, 15W, 4200 К, колба T2</t>
  </si>
  <si>
    <t>l0260007</t>
  </si>
  <si>
    <t>Лампа енергозберігаюча e.save.screw.E14.18.4200, тип screw, патрон Е14, 18W, 4200 К</t>
  </si>
  <si>
    <t>l0260034</t>
  </si>
  <si>
    <t>Лампа енергозберігаюча e.save.screw.E14.20.4200.T2, тип screw, патрон Е14, 20W, 4200 К, колба Т2</t>
  </si>
  <si>
    <t>l0260009</t>
  </si>
  <si>
    <t>Лампа енергозберігаюча e.save.screw.E14.22.4200, тип screw, патрон Е14, 22W, 4200 К</t>
  </si>
  <si>
    <t>l0260020</t>
  </si>
  <si>
    <t>Лампа енергозберігаюча e.save.screw.E27.7.4200.T2, тип screw, патрон Е27, 7W, 4200 К, колба Т2</t>
  </si>
  <si>
    <t>l0250020</t>
  </si>
  <si>
    <t>Лампа енергозберігаюча e.save.screw.E27.9.2700.T2, тип screw, патрон Е27, 9W, 2700 К, колба Т2</t>
  </si>
  <si>
    <t>l0260022</t>
  </si>
  <si>
    <t>Лампа енергозберігаюча e.save.screw.E27.9.4200.T2, тип screw, патрон Е27, 9W, 4200 К, колба Т2</t>
  </si>
  <si>
    <t>l0250021</t>
  </si>
  <si>
    <t>Лампа енергозберігаюча e.save.screw.E27.11.2700.T2, тип screw, патрон Е27, 11W, 2700 К, колба Т2</t>
  </si>
  <si>
    <t>l0260023</t>
  </si>
  <si>
    <t>Лампа енергозберігаюча e.save.screw.E27.11.4200.T2, тип screw, патрон Е27, 11W, 4200 К, колба Т2</t>
  </si>
  <si>
    <t>l0250022</t>
  </si>
  <si>
    <t>Лампа енергозберігаюча e.save.screw.E27.13.2700.T2, тип screw, патрон Е27, 13W, 2700 К, колба Т2</t>
  </si>
  <si>
    <t>l0260024</t>
  </si>
  <si>
    <t>Лампа енергозберігаюча e.save.screw.E27.13.4200.T2, тип screw, патрон Е27, 13W, 4200 К, колба Т2</t>
  </si>
  <si>
    <t>l0250025</t>
  </si>
  <si>
    <t>Лампа енергозберігаюча e.save.screw.E27.20.2700.T2, тип screw, патрон Е27, 20W, 2700 К, колба Т2</t>
  </si>
  <si>
    <t>l0260027</t>
  </si>
  <si>
    <t>Лампа енергозберігаюча e.save.screw.E27.20.4200.T2, тип screw, патрон Е27, 20W, 4200 К, колба Т2</t>
  </si>
  <si>
    <t>l0260012</t>
  </si>
  <si>
    <t>Лампа енергозберігаюча e.save.screw.E27.30.4200, тип screw, патрон Е27, 30W, 4200 К</t>
  </si>
  <si>
    <t>l0260013</t>
  </si>
  <si>
    <t>Лампа енергозберігаюча e.save.screw.E27.40.4200, тип screw, патрон Е27, 40W, 4200 К</t>
  </si>
  <si>
    <t>l0260014</t>
  </si>
  <si>
    <t>Лампа енергозберігаюча e.save.screw.E27.50.4200, тип screw, патрон Е27, 50W, 4200 К</t>
  </si>
  <si>
    <t>l0260032</t>
  </si>
  <si>
    <t>Лампа енергозберігаюча e.save.screw.E27.60.4200, тип screw, патрон Е27, 60W, 4200 К</t>
  </si>
  <si>
    <t>l0250034</t>
  </si>
  <si>
    <t>Лампа енергозберігаюча e.save.screw.E40.85.4200, тип screw, патрон Е40, 85W, 4200К</t>
  </si>
  <si>
    <t>l0250033</t>
  </si>
  <si>
    <t>Лампа енергозберігаюча e.save.screw.E40.105.4200, тип screw, патрон Е40, 105W, 4200К</t>
  </si>
  <si>
    <t>2.Лампи інших ТМ</t>
  </si>
  <si>
    <t>NRX20W/E27(2700)</t>
  </si>
  <si>
    <t>Лампа енергозберігаюча NORDEX globe.E27.20.2700, тип куля, патрон Е27, 20W, 2700 К</t>
  </si>
  <si>
    <t>CH6U150W/E40(6400)</t>
  </si>
  <si>
    <t>Лампа енергозберігаюча CHO YANG 6U.E40.105.6400, тип 6U, патрон Е40, 150W, 6400 К</t>
  </si>
  <si>
    <t>3.Лампи люмінесцентні</t>
  </si>
  <si>
    <t>l006013</t>
  </si>
  <si>
    <t>Лампа люмінесцентна e.fl.t5.g5.4.64 G5 T5 4Вт</t>
  </si>
  <si>
    <t>l007034</t>
  </si>
  <si>
    <t>Лампа люмінесцентна e.fl.t5.g5.6.854 G5 T5 6Вт, 5400K</t>
  </si>
  <si>
    <t>l007020</t>
  </si>
  <si>
    <t>Лампа люмінесцентна e.fl.t5.g5.8.854 G5 T5 8Вт, 5400K</t>
  </si>
  <si>
    <t>l006018</t>
  </si>
  <si>
    <t>Лампа люмінесцентна e.fl.t5.g5.8.uv G5 T5 8Вт ультрафіолетова</t>
  </si>
  <si>
    <t>l007021</t>
  </si>
  <si>
    <t>Лампа люмінесцентна e.fl.t5.g5.13.854 G5 T5 13Вт, 5400K</t>
  </si>
  <si>
    <t>l007028</t>
  </si>
  <si>
    <t>Лампа люмінесцентна e.fl.t5.g5.14.833 G5 T5 14Вт, 3300K</t>
  </si>
  <si>
    <t>l007022</t>
  </si>
  <si>
    <t>Лампа люмінесцентна e.fl.t5.g5.14.854 G5 T5 14Вт, 5400K</t>
  </si>
  <si>
    <t>l007023</t>
  </si>
  <si>
    <t>Лампа люмінесцентна e.fl.t5.g5.21.854 G5 T5 21Вт, 5400K</t>
  </si>
  <si>
    <t>l007024</t>
  </si>
  <si>
    <t>Лампа люмінесцентна e.fl.t5.g5.28.854 G5 T5 28Вт, 5400K</t>
  </si>
  <si>
    <t>l007025</t>
  </si>
  <si>
    <t>Лампа люмінесцентна e.fl.t5.g5.35.854 G5 T5 35Вт, 5400K</t>
  </si>
  <si>
    <t>l006001</t>
  </si>
  <si>
    <t>Лампа люмінесцентна e.fl.t8.g13.15.64 G13 T8 15Вт</t>
  </si>
  <si>
    <t>l006002</t>
  </si>
  <si>
    <t>Лампа люмінесцентна e.fl.t8.g13.18.64 G13 T8 18Вт</t>
  </si>
  <si>
    <t>l006004</t>
  </si>
  <si>
    <t>Лампа люмінесцентна e.fl.t8.g13.30.64 G13 T8 30Вт</t>
  </si>
  <si>
    <t>l007019</t>
  </si>
  <si>
    <t>Лампа люмінесцентна e.fl.t8.g13.36.33 G13 T8 36Вт, 3300K</t>
  </si>
  <si>
    <t>l006005</t>
  </si>
  <si>
    <t>Лампа люмінесцентна e.fl.t8.g13.36.64 G13 T8 36Вт</t>
  </si>
  <si>
    <t>l007027</t>
  </si>
  <si>
    <t>Лампа люмінесцентна e.fl.t8.g13.58.33 G13 T8 58Вт, 3300K</t>
  </si>
  <si>
    <t>l007026</t>
  </si>
  <si>
    <t>Лампа люмінесцентна e.fl.t8.g13.58.64 G13 T8 58Вт, 6400K</t>
  </si>
  <si>
    <t>l000102</t>
  </si>
  <si>
    <t>Лампа люмінесцентна  Essentiel 18W/54-765  Т8. G13. 18W. 6500K</t>
  </si>
  <si>
    <t>l000103</t>
  </si>
  <si>
    <t>Лампа люмінесцентна  Essentiel 58W/54-765  Т8. G13. 58W. 6500K</t>
  </si>
  <si>
    <t>l000104</t>
  </si>
  <si>
    <t>Лампа люмінесцентна  Luxe TLD 18W/830  Т8. G13. 18W. 3000K</t>
  </si>
  <si>
    <t>l000105</t>
  </si>
  <si>
    <t>Лампа люмінесцентна  Luxe TLD 18W/840  Т8. G13. 18W. 4000K</t>
  </si>
  <si>
    <t>l006022</t>
  </si>
  <si>
    <t>Лампа люмінесцентна e.fl.t8.g13.18.blue G13 T8 18Вт блакитна</t>
  </si>
  <si>
    <t>l006020</t>
  </si>
  <si>
    <t>Лампа люмінесцентна e.fl.t8.g13.18.red G13 T8 18Вт червона</t>
  </si>
  <si>
    <t>l006008</t>
  </si>
  <si>
    <t>Лампа люмінесцентна e.fl.t8.g13.36.blue G13 T8 36Вт блакитна</t>
  </si>
  <si>
    <t>l006007</t>
  </si>
  <si>
    <t>Лампа люмінесцентна e.fl.t8.g13.36.green G13 T8 36Вт зелена</t>
  </si>
  <si>
    <t>l006006</t>
  </si>
  <si>
    <t>Лампа люмінесцентна e.fl.t8.g13.36.red G13 T8 36Вт червона</t>
  </si>
  <si>
    <t>4.Лампи галогенні</t>
  </si>
  <si>
    <t>l004021</t>
  </si>
  <si>
    <t>Лампа галогенна e.halogen.line.j78.220.100, лінійна, 78мм, 220V, 100W</t>
  </si>
  <si>
    <t>l004022</t>
  </si>
  <si>
    <t>Лампа галогенна e.halogen.line.j78.220.150, лінійна, 78мм, 220V, 150W</t>
  </si>
  <si>
    <t>l004023</t>
  </si>
  <si>
    <t>Лампа галогенна e.halogen.line.j78.220.200, лінійна, 78мм, 220V, 200W</t>
  </si>
  <si>
    <t>l004024</t>
  </si>
  <si>
    <t>Лампа галогенна e.halogen.line.j118.220.300, лінійна, 118мм, 220V, 300W</t>
  </si>
  <si>
    <t>l004025</t>
  </si>
  <si>
    <t>Лампа галогенна e.halogen.line.j118.220.500, лінійна, 118мм, 220V, 500W</t>
  </si>
  <si>
    <t>l004026</t>
  </si>
  <si>
    <t>Лампа галогенна e.halogen.line.j189.220.1000, лінійна, 189мм, 220V, 1000W</t>
  </si>
  <si>
    <t>l004027</t>
  </si>
  <si>
    <t>Лампа галогенна e.halogen.line.j254.220.1500, лінійна, 254мм, 220V, 1500W</t>
  </si>
  <si>
    <t>l004001</t>
  </si>
  <si>
    <t>Лампа галогенна e.halogen.jc.g4.12.20.clear прозора, патрон G4, 12V, 20W</t>
  </si>
  <si>
    <t>l004006</t>
  </si>
  <si>
    <t>Лампа галогенна e.halogen.jc.g4.12.35.frost матова, патрон G4, 12V, 35W</t>
  </si>
  <si>
    <t>l004003</t>
  </si>
  <si>
    <t>Лампа галогенна e.halogen.jc.g6.35.12.35.clear прозора, патрон G6.35, 12V, 35W</t>
  </si>
  <si>
    <t>l004004</t>
  </si>
  <si>
    <t>Лампа галогенна e.halogen.jc.g6.35.12.50.clear прозора, патрон G6.35, 12V, 50W</t>
  </si>
  <si>
    <t>l004007</t>
  </si>
  <si>
    <t>Лампа галогенна e.halogen.jc.g6.35.12.35.frost матова, патрон G6.35, 12V, 35W</t>
  </si>
  <si>
    <t>l004008</t>
  </si>
  <si>
    <t>Лампа галогенна e.halogen.jc.g6.35.12.50.frost матова, патрон G6.35, 12V, 50W</t>
  </si>
  <si>
    <t>l004015</t>
  </si>
  <si>
    <t>Лампа галогенна e.halogen.jcdr.g5.3.220.20, патрон G5.3, 220V, 20W, MR16</t>
  </si>
  <si>
    <t>l004014</t>
  </si>
  <si>
    <t>Лампа галогенна e.halogen.mr11.g4.12.50 з відбивачем, патрон G4, 12V, 50W</t>
  </si>
  <si>
    <t>l004009</t>
  </si>
  <si>
    <t>Лампа галогенна e.halogen.mr16.g5.3.12.20 з відбивачем, патрон G5.3, 12V, 20W</t>
  </si>
  <si>
    <t>l004010</t>
  </si>
  <si>
    <t>Лампа галогенна e.halogen.mr16.g5.3.12.35 з відбивачем, патрон G5.3, 12V, 35W</t>
  </si>
  <si>
    <t>l004011</t>
  </si>
  <si>
    <t>Лампа галогенна e.halogen.mr16.g5.3.12.50 з відбивачем, патрон G5.3, 12V, 50W</t>
  </si>
  <si>
    <t>l004018</t>
  </si>
  <si>
    <t>Лампа галогенна e.halogen.gu10.220.20, патрон GU 10, 220V, 20W</t>
  </si>
  <si>
    <t>l004020</t>
  </si>
  <si>
    <t>Лампа галогенна e.halogen.gu10.220.50, патрон GU 10, 220V, 50W</t>
  </si>
  <si>
    <t>5.Лампи газорозріджені високого тиску (ГРЛ)</t>
  </si>
  <si>
    <t>1.Лампи метало-галогенові (ДРИ)</t>
  </si>
  <si>
    <t>l0150002</t>
  </si>
  <si>
    <t>Лампа  метало-галогенова e.lamp.mhl.e40.250, патрон  e40, 250Вт</t>
  </si>
  <si>
    <t>l0150004</t>
  </si>
  <si>
    <t>Лампа  метало-галогенова e.lamp.mhl.e40.400, патрон  e40, 400Вт</t>
  </si>
  <si>
    <t>l0150007</t>
  </si>
  <si>
    <t>Лампа  метало-галогенова e.lamp.mhl.e40.1000, патрон  E40, 1000Вт</t>
  </si>
  <si>
    <t>l0150005</t>
  </si>
  <si>
    <t>Лампа  метало-галогенова e.lamp.mhl.g12.70, патрон  g12, 70Вт</t>
  </si>
  <si>
    <t>l0150006</t>
  </si>
  <si>
    <t>Лампа  метало-галогенова e.lamp.mhl.g12.150, патрон  g12, 150Вт</t>
  </si>
  <si>
    <t>l0150003</t>
  </si>
  <si>
    <t>Лампа  метало-галогенова e.lamp.mhl.rх7s.70, патрон  rх7s, 70Вт</t>
  </si>
  <si>
    <t>l0150001</t>
  </si>
  <si>
    <t>Лампа  метало-галогенова e.lamp.mhl.rх7s.150, патрон  rх7s, 150Вт</t>
  </si>
  <si>
    <t>2.Лампи натрієві високого тиску (ДНаТ)</t>
  </si>
  <si>
    <t>l0450001</t>
  </si>
  <si>
    <t>Лампа натрієва високого тиску e.lamp.hps.e27.70, E27, 70 Вт</t>
  </si>
  <si>
    <t>l0450002</t>
  </si>
  <si>
    <t>Лампа натрієва високого тиску e.lamp.hps.e27.100, E27, 100 Вт</t>
  </si>
  <si>
    <t>l0450003</t>
  </si>
  <si>
    <t>Лампа натрієва високого тиску e.lamp.hps.e40.100, E40, 100 Вт</t>
  </si>
  <si>
    <t>l0450004</t>
  </si>
  <si>
    <t>Лампа натрієва високого тиску e.lamp.hps.e40.150, E40, 150 Вт</t>
  </si>
  <si>
    <t>l0450005</t>
  </si>
  <si>
    <t>Лампа натрієва високого тиску e.lamp.hps.e40.250, E40, 250 Вт</t>
  </si>
  <si>
    <t>l0450006</t>
  </si>
  <si>
    <t>Лампа натрієва високого тиску e.lamp.hps.e40.400, E40, 400 Вт</t>
  </si>
  <si>
    <t>l0450007</t>
  </si>
  <si>
    <t>Лампа натрієва високого тиску e.lamp.hps.e40.600, E40, 600 Вт</t>
  </si>
  <si>
    <t>l0450010</t>
  </si>
  <si>
    <t>Лампа натрієва високого тиску e.lamp.hps.e40.1000, E40, 1000 Вт</t>
  </si>
  <si>
    <t>l0450008</t>
  </si>
  <si>
    <t>Лампа натрієва високого тиску e.lamp.hps.rx7s.70, патрон RX7s, 70 Вт</t>
  </si>
  <si>
    <t>l0450009</t>
  </si>
  <si>
    <t>Лампа натрієва високого тиску e.lamp.hps.rx7s.150, патрон RX7s, 150 Вт</t>
  </si>
  <si>
    <t>3.Лампи ртутні високого тиску (ДРЛ)</t>
  </si>
  <si>
    <t>l0460001</t>
  </si>
  <si>
    <t>Лампа ртутна високого тиску e.lamp.hpl.e27.80, Е27, 80 Вт</t>
  </si>
  <si>
    <t>l0460002</t>
  </si>
  <si>
    <t>Лампа ртутна високого тиску e.lamp.hpl.e27.125, Е27, 125 Вт</t>
  </si>
  <si>
    <t>l0460003</t>
  </si>
  <si>
    <t>Лампа ртутна високого тиску e.lamp.hpl.e40.250, Е40, 250 Вт</t>
  </si>
  <si>
    <t>l0460004</t>
  </si>
  <si>
    <t>Лампа ртутна високого тиску e.lamp.hpl.e40.400, Е40, 400 Вт</t>
  </si>
  <si>
    <t>l0460005</t>
  </si>
  <si>
    <t>Лампа ртутна високого тиску e.lamp.hpl.e40.700, Е40, 700 Вт</t>
  </si>
  <si>
    <t>l0460006</t>
  </si>
  <si>
    <t>Лампа ртутна високого тиску e.lamp.hpl.e40.1000, Е40, 1000 Вт</t>
  </si>
  <si>
    <t>4.Лампи ртутно-вольфрамові (ДРВ)</t>
  </si>
  <si>
    <t>l0470001</t>
  </si>
  <si>
    <t>Лампа ртутно-вольфрамова e.lamp.hwl.e27.160, Е27, 160 Вт</t>
  </si>
  <si>
    <t>l0470002</t>
  </si>
  <si>
    <t>Лампа ртутно-вольфрамова e.lamp.hwl.e27.250, Е27, 250 Вт</t>
  </si>
  <si>
    <t>l0470003</t>
  </si>
  <si>
    <t>Лампа ртутно-вольфрамова e.lamp.hwl.e40.250, Е40, 250 Вт</t>
  </si>
  <si>
    <t>l0470004</t>
  </si>
  <si>
    <t>Лампа ртутно-вольфрамова e.lamp.hwl.e40.500, Е40, 500 Вт</t>
  </si>
  <si>
    <t>l0470005</t>
  </si>
  <si>
    <t>Лампа ртутно-вольфрамова e.lamp.hwl.e40.750, Е40, 750 Вт</t>
  </si>
  <si>
    <t>6.Лампи розжарювання рефлекторні</t>
  </si>
  <si>
    <t>l005035</t>
  </si>
  <si>
    <t>Лампа розжарювання e.lamp.r63.e27.25.frost Тип R63 Е27 25Вт матова</t>
  </si>
  <si>
    <t>l005038</t>
  </si>
  <si>
    <t>Лампа розжарювання e.lamp.r80.e27.25.frost Тип R80 Е27 25Вт матова</t>
  </si>
  <si>
    <t>l005039</t>
  </si>
  <si>
    <t>Лампа розжарювання e.lamp.r80.e27.40.frost Тип R80 Е27 40Вт матова</t>
  </si>
  <si>
    <t>3.Управління освітленням</t>
  </si>
  <si>
    <t>1.Датчики руху</t>
  </si>
  <si>
    <t>s061012</t>
  </si>
  <si>
    <t>Датчик руху інфрачервоний настінний, прихованого монтажу e.sensor.pir.01B.white(білий), 160°, IP20</t>
  </si>
  <si>
    <t>s061001</t>
  </si>
  <si>
    <t>Датчик руху інфрачервоний стельовий e.sensor.pir.07.white(білий), 360°, IP20</t>
  </si>
  <si>
    <t>s061003</t>
  </si>
  <si>
    <t>Датчик руху інфрачервоний e.sensor.pir.09.black(чорний), 180°, IP44</t>
  </si>
  <si>
    <t>s061002</t>
  </si>
  <si>
    <t>Датчик руху інфрачервоний e.sensor.pir.09.white(білий), 180°, IP44</t>
  </si>
  <si>
    <t>s061005</t>
  </si>
  <si>
    <t>Датчик руху інфрачервонийe.sensor.pir.10F.black(чорний), 180°, IP44</t>
  </si>
  <si>
    <t>s061004</t>
  </si>
  <si>
    <t>Датчик руху інфрачервоний e.sensor.pir.10F.white(білий), 180°, IP44</t>
  </si>
  <si>
    <t>s061010</t>
  </si>
  <si>
    <t>Датчик руху інфрачервоний e.sensor.pir.12.black(чорний), 180°, IP44</t>
  </si>
  <si>
    <t>s061009</t>
  </si>
  <si>
    <t>Датчик руху інфрачервоний e.sensor.pir.12.white(білий), 180°, IP44</t>
  </si>
  <si>
    <t>s061019</t>
  </si>
  <si>
    <t>Датчик руху інфрачервоний e.sensor.pir.13.black(чорний)  270°, IP44</t>
  </si>
  <si>
    <t>s061018</t>
  </si>
  <si>
    <t>Датчик руху інфрачервоний e.sensor.pir.13.white(білий)  270°, IP44</t>
  </si>
  <si>
    <t>s061017</t>
  </si>
  <si>
    <t>Датчик руху інфрачервоний e.sensor.pir.24.white,  360°, білий</t>
  </si>
  <si>
    <t>s061006</t>
  </si>
  <si>
    <t>Датчик руху інфрачервоний e.sensor.pir.38.white(білий), 180°, IP44</t>
  </si>
  <si>
    <t>s061011</t>
  </si>
  <si>
    <t>Датчик руху інфрачервоний стельовий, що вбудовується e.sensor.pir.42.white(білий), 360°, IP20</t>
  </si>
  <si>
    <t>s061020</t>
  </si>
  <si>
    <t>Датчик руху інфрачервоний e.sensor.pir.451.e27.white(білий) 360°, адаптер для ламп Е27</t>
  </si>
  <si>
    <t>s061021</t>
  </si>
  <si>
    <t>Датчик руху мікрохвильовий e.sensor.mw.700.white(білий)  360°, IP20</t>
  </si>
  <si>
    <t>2.Фотореле</t>
  </si>
  <si>
    <t>s061007</t>
  </si>
  <si>
    <t>Сутінкове реле e.sensor. light-conrol.302.white(білий), 10А, IP44</t>
  </si>
  <si>
    <t>s061008</t>
  </si>
  <si>
    <t>Сутінкове реле e.sensor. light-conrol.303.white(білий), 25А, IP44</t>
  </si>
  <si>
    <t>s061016</t>
  </si>
  <si>
    <t>Датчик денного світла e.sensor.daylight.330.dim.white(білий) для дімірування світильників (1-10В)</t>
  </si>
  <si>
    <t>3.Світильники з датчиком руху</t>
  </si>
  <si>
    <t>s061022</t>
  </si>
  <si>
    <t>Світильник світлодіодний стельовий з датчиком руху e.sensor.LED.77.12.4000(білий), 12вт, 4000К, 360°, IP20</t>
  </si>
  <si>
    <t>s061023</t>
  </si>
  <si>
    <t>Світильник світлодіодний стельовий з датчиком руху та акумулятором e.sensor.LED.77Е.12.4000(білий), 12вт, 4000К, 360°, IP20, 5 часов</t>
  </si>
  <si>
    <t>s061024</t>
  </si>
  <si>
    <t>Світильник настінний з датчиком руху e.sensor.lum.52.e27.white(білий) 180°, IP44</t>
  </si>
  <si>
    <t>s061027</t>
  </si>
  <si>
    <t>Світильник настінний з датчиком руху e.sensor.lum.69.e27.black(чорний) 180°, IP44</t>
  </si>
  <si>
    <t>s061026</t>
  </si>
  <si>
    <t>Світильник настінний з датчиком руху e.sensor.lum.69.e27.white(білий) 180°, IP44</t>
  </si>
  <si>
    <t>s061025</t>
  </si>
  <si>
    <t>Світильник стельовий з датчиком руху e.sensor.lum.78.e27.white(білий) 360°, IP20</t>
  </si>
  <si>
    <t>4.Комплектуючі</t>
  </si>
  <si>
    <t>1.Імпульсні запалюючі пристрої</t>
  </si>
  <si>
    <t>l0410001</t>
  </si>
  <si>
    <t>Імпульсно-запалювальний пристрій e.ignitor.3.wire.70.400 (ИЗУ)</t>
  </si>
  <si>
    <t>l0410002</t>
  </si>
  <si>
    <t>Імпульсно-запалювальний пристрій e.ignitor.3.wire.600.1000 (ИЗУ) 600-1000W</t>
  </si>
  <si>
    <t>2.Конденсатори</t>
  </si>
  <si>
    <t>l0420001</t>
  </si>
  <si>
    <t>Конденсатор capacitor.13, 13 мкФ</t>
  </si>
  <si>
    <t>l0420002</t>
  </si>
  <si>
    <t>Конденсатор capacitor.18, 18 мкФ</t>
  </si>
  <si>
    <t>l0420011</t>
  </si>
  <si>
    <t>Конденсатор capacitor.25, 25 мкФ</t>
  </si>
  <si>
    <t>l0420003</t>
  </si>
  <si>
    <t>Конденсатор capacitor.28, 28 мкФ</t>
  </si>
  <si>
    <t>l0420004</t>
  </si>
  <si>
    <t>Конденсатор capacitor.32, 32 мкФ</t>
  </si>
  <si>
    <t>l0420005</t>
  </si>
  <si>
    <t>Конденсатор capacitor.37, 37 мкФ</t>
  </si>
  <si>
    <t>l0420006</t>
  </si>
  <si>
    <t>Конденсатор capacitor.50, 50 мкФ</t>
  </si>
  <si>
    <t>l0420007</t>
  </si>
  <si>
    <t>Конденсатор capacitor.55, 55 мкФ</t>
  </si>
  <si>
    <t>l0420008</t>
  </si>
  <si>
    <t>Конденсатор capacitor.60, 60 мкФ</t>
  </si>
  <si>
    <t>l0420009</t>
  </si>
  <si>
    <t>Конденсатор capacitor.85, 85 мкФ</t>
  </si>
  <si>
    <t>l0420010</t>
  </si>
  <si>
    <t>Конденсатор capacitor.100, 100 мкФ</t>
  </si>
  <si>
    <t>3.Трансформатори</t>
  </si>
  <si>
    <t>l011001</t>
  </si>
  <si>
    <t>Трансформатор електронний e.trans.electron.230.12.60</t>
  </si>
  <si>
    <t>l011002</t>
  </si>
  <si>
    <t>Трансформатор електронний e.trans.electron.230.12.105</t>
  </si>
  <si>
    <t>l011003</t>
  </si>
  <si>
    <t>Трансформатор електронний e.trans.electron.230.12.150</t>
  </si>
  <si>
    <t>l011017</t>
  </si>
  <si>
    <t>Трансформатор електронний e.trans.electron.round.230.12.60, круглий</t>
  </si>
  <si>
    <t>4.Стартери</t>
  </si>
  <si>
    <t>l009001</t>
  </si>
  <si>
    <t>Стартер e.starter.s2.2 (2х22Вт, 127В)</t>
  </si>
  <si>
    <t>l009003</t>
  </si>
  <si>
    <t>Стартер e.starter.s10.2 (1х65Вт)</t>
  </si>
  <si>
    <t>l009002</t>
  </si>
  <si>
    <t>Стартер e.starter.s2.4 (2х22Вт, 127В) прозор.</t>
  </si>
  <si>
    <t>l009004</t>
  </si>
  <si>
    <t>Стартер e.starter.s10.4 (1х65Вт) прозор.</t>
  </si>
  <si>
    <t>5.Баласти до люмінісцентних ламп</t>
  </si>
  <si>
    <t>l010008</t>
  </si>
  <si>
    <t>Баласт електронний e.ballast.electron.h.230.18</t>
  </si>
  <si>
    <t>l010022</t>
  </si>
  <si>
    <t>Баласт електронний e.ballast.electron.h.230.2.18</t>
  </si>
  <si>
    <t>l010023</t>
  </si>
  <si>
    <t>Баласт електронний e.ballast.electron.h.230.2.36</t>
  </si>
  <si>
    <t>l010009</t>
  </si>
  <si>
    <t>Баласт електронний e.ballast.electron.h.230.30</t>
  </si>
  <si>
    <t>l010010</t>
  </si>
  <si>
    <t>Баласт електронний e.ballast.electron.h.230.36</t>
  </si>
  <si>
    <t>l010011</t>
  </si>
  <si>
    <t>Баласт електронний e.ballast.electron.h.230.58</t>
  </si>
  <si>
    <t>l010001</t>
  </si>
  <si>
    <t>Баласт електронний e.ballast.electron.l.230.4</t>
  </si>
  <si>
    <t>l010002</t>
  </si>
  <si>
    <t>Баласт електронний e.ballast.electron.l.230.6</t>
  </si>
  <si>
    <t>l010007</t>
  </si>
  <si>
    <t>Баласт електронний e.ballast.electron.l.230.18</t>
  </si>
  <si>
    <t>l010019</t>
  </si>
  <si>
    <t>Баласт електронний e.ballast.electron.l.230.4.18</t>
  </si>
  <si>
    <t>l010014</t>
  </si>
  <si>
    <t>Баласт електромагнітний e.ballast.magnetic.230.15</t>
  </si>
  <si>
    <t>l010015</t>
  </si>
  <si>
    <t>Баласт електромагнітний e.ballast.magnetic.230.20</t>
  </si>
  <si>
    <t>l010016</t>
  </si>
  <si>
    <t>Баласт електромагнітний e.ballast.magnetic.230.30</t>
  </si>
  <si>
    <t>l010017</t>
  </si>
  <si>
    <t>Баласт електромагнітний e.ballast.magnetic.230.40</t>
  </si>
  <si>
    <t>l010018</t>
  </si>
  <si>
    <t>Баласт електромагнітний e.ballast.magnetic.230.58</t>
  </si>
  <si>
    <t>6.Електро-магнітні баласти до ГРЛ</t>
  </si>
  <si>
    <t>l0440001</t>
  </si>
  <si>
    <t>Електромагнітний баласт e.ballast.hpl.80, для ртутних ламп 80 Вт</t>
  </si>
  <si>
    <t>l0440002</t>
  </si>
  <si>
    <t>Електромагнітний баласт e.ballast.hpl.125, для ртутних ламп 125 Вт</t>
  </si>
  <si>
    <t>l0440003</t>
  </si>
  <si>
    <t>Електромагнітній баласт e.ballast.hpl.mhl.250, для ртутних і металогалогенових ламп 250 Вт</t>
  </si>
  <si>
    <t>l0440004</t>
  </si>
  <si>
    <t>Електромагнітний баласт e.ballast.hpl.mhl.400, для ртутних і металогалогенових ламп 400 Вт</t>
  </si>
  <si>
    <t>l0440005</t>
  </si>
  <si>
    <t>Електромагнітний баласт e.ballast.hpl.mhl.1000, для ртутних і металогалогенових ламп 1000 Вт</t>
  </si>
  <si>
    <t>l0430001</t>
  </si>
  <si>
    <t>Електромагнітний баласт e.ballast.hps.mhl.70, для натрієвих і металогалогенових ламп 70 Вт</t>
  </si>
  <si>
    <t>l0430002</t>
  </si>
  <si>
    <t>Електромагнітний баласт e.ballast.hps.mhl.100, для натрієвих і металогалогенових ламп 100 Вт</t>
  </si>
  <si>
    <t>l0430003</t>
  </si>
  <si>
    <t>Електромагнітний баласт e.ballast.hps.mhl.150, для натрієвих і металогалогенових ламп 150 Вт</t>
  </si>
  <si>
    <t>l0430004</t>
  </si>
  <si>
    <t>Електромагнітний баласт e.ballast.hps.250, для натрієвих ламп 250 Вт</t>
  </si>
  <si>
    <t>l0430005</t>
  </si>
  <si>
    <t>Електромагнітний баласт e.ballast.hps.400, для натрієвих ламп 400 Вт</t>
  </si>
  <si>
    <t>l0430006</t>
  </si>
  <si>
    <t>Електромагнітний баласт e.ballast.hps.600, для натрієвих ламп 600 Вт</t>
  </si>
  <si>
    <t>l0430007</t>
  </si>
  <si>
    <t>Електромагнітний баласт e.ballast.hps.1000, для натрієвих ламп 1000 Вт</t>
  </si>
  <si>
    <t>7.Тримачі для ламп</t>
  </si>
  <si>
    <t>s9100022</t>
  </si>
  <si>
    <t>Перехідник e.lamp adapter.Е14/Е27.white, з патрону Е14 на Е27, пластиковий</t>
  </si>
  <si>
    <t>s9100021</t>
  </si>
  <si>
    <t>Перехідник e.lamp adapter.Е27/Е14.white, з патрону Е27 на Е14, пластиковий</t>
  </si>
  <si>
    <t>s9100015</t>
  </si>
  <si>
    <t>Перехідник e.lamp adapter.Е27/Е40.white, з патрону Е27 на Е40, пластиковий</t>
  </si>
  <si>
    <t>s9100020</t>
  </si>
  <si>
    <t>Перехідник e.lamp adapter.Е40/Е27.white, з патрону Е40 на Е27, пластиковий</t>
  </si>
  <si>
    <t>s9100019</t>
  </si>
  <si>
    <t>Патрон бакелітовий e.lamp socket wall side.E27.bk.black, настінний Е27, чорний</t>
  </si>
  <si>
    <t>s9100018</t>
  </si>
  <si>
    <t>Патрон бакелітовий e.lamp socket wall skew side.E27.bk.black, настінний, Е27, зміщений, чорний</t>
  </si>
  <si>
    <t>s9100006</t>
  </si>
  <si>
    <t>Патрон пластиковий Е14 з гайкою, білий</t>
  </si>
  <si>
    <t>s9100008</t>
  </si>
  <si>
    <t>Патрон бакелітовий Е27 з гайкою, чорний</t>
  </si>
  <si>
    <t>s9100007</t>
  </si>
  <si>
    <t>Патрон пластиковий Е27 з гайкою, чорний</t>
  </si>
  <si>
    <t>s9100016</t>
  </si>
  <si>
    <t>Патрон пластиковий e.lamp socket with nut.E27.pl.white, Е27 з гайкою, білий</t>
  </si>
  <si>
    <t>s9100010</t>
  </si>
  <si>
    <t>Патрон пластиковий Е14, білий</t>
  </si>
  <si>
    <t>s9100009</t>
  </si>
  <si>
    <t>Патрон пластиковий Е27, чорний</t>
  </si>
  <si>
    <t>s9100017</t>
  </si>
  <si>
    <t>Патрон пластиковий e.lamp socket.E27.pl.white, Е27, білий</t>
  </si>
  <si>
    <t>s9100012</t>
  </si>
  <si>
    <t>Патрон керамічний G5,3  довжина проводу 12 см</t>
  </si>
  <si>
    <t>s9100011</t>
  </si>
  <si>
    <t>Патрон керамічний GU10</t>
  </si>
  <si>
    <t>s9100013</t>
  </si>
  <si>
    <t>Патрон керамічний Е14</t>
  </si>
  <si>
    <t>s9100014</t>
  </si>
  <si>
    <t>Патрон керамічний Е27</t>
  </si>
  <si>
    <t>s9100117</t>
  </si>
  <si>
    <t>Патрон керамічний Е27 без кріплення, мідний контакт</t>
  </si>
  <si>
    <t>s9100117p</t>
  </si>
  <si>
    <t>Патрон керамічний Е27 без кріплення, мідний контакт (Без маркування)</t>
  </si>
  <si>
    <t>s9100056</t>
  </si>
  <si>
    <t>Патрон керамічний Е40, e.lamp socket.Е40.cer</t>
  </si>
  <si>
    <t>8.Перемикачі</t>
  </si>
  <si>
    <t>l020002</t>
  </si>
  <si>
    <t>Перемикач світла e.switch wires.6A.black, 6А, чорний</t>
  </si>
  <si>
    <t>l020001</t>
  </si>
  <si>
    <t>Перемикач світла e.switch wires.6A.white, 6А, білий</t>
  </si>
  <si>
    <t>l020003</t>
  </si>
  <si>
    <t>Шнур з вилкою та перемикачем e.wire. switch/plug. white, білий, 2Х0,75, 1,5М</t>
  </si>
  <si>
    <t>9.Інструменти</t>
  </si>
  <si>
    <t>1.Інструмент для різання кабелю CUTTER</t>
  </si>
  <si>
    <t>t003004</t>
  </si>
  <si>
    <t>Інструмент e.tool.cutter.lk.22.a.16 для різання мідного та алюмінієвого кабелю перетином до 22 кв.мм</t>
  </si>
  <si>
    <t>t003005</t>
  </si>
  <si>
    <t>Інструмент e.tool.cutter.lk.38.a.35 для різання мідного та алюмінієвого кабелю перетином до 38 кв.мм</t>
  </si>
  <si>
    <t>t003006</t>
  </si>
  <si>
    <t>Інструмент e.tool.cutter.lk.60.a.50 для різання мідного та алюмінієвого кабелю перетином до 60 кв.мм</t>
  </si>
  <si>
    <t>t003003</t>
  </si>
  <si>
    <t>Інструмент e.tool.cutter.lk.125 для різання мідного та алюмінієвого кабелю перетином до 125 кв.мм (діаметром до 21мм)</t>
  </si>
  <si>
    <t>t003001</t>
  </si>
  <si>
    <t>Інструмент e.tool.cutter.lk.250 для різкі мідного та алюмінієвого кабелю перетином до 250 кв.мм (діаметром до 35мм)</t>
  </si>
  <si>
    <t>t003002</t>
  </si>
  <si>
    <t>Інструмент e.tool.cutter.lk.500 для різання мідного та алюмінієвого кабелю перетином до 500 кв.мм (діаметром до 43мм)</t>
  </si>
  <si>
    <t>t003007</t>
  </si>
  <si>
    <t>Інструмент e.tool.cutter.104.c для різання мідного та алюмінієвого кабелю</t>
  </si>
  <si>
    <t>2.Інструмент для зняття ізоляції STRIP</t>
  </si>
  <si>
    <t>t004005</t>
  </si>
  <si>
    <t>Інструмент e.tool.strip.1040.8.16 для зняття ізоляції проводів перетином 8-16 кв.мм</t>
  </si>
  <si>
    <t>t004006</t>
  </si>
  <si>
    <t>Інструмент e.tool.strip.1041.1.6 для зняття ізоляції проводів перетином 0,9-6 кв.мм</t>
  </si>
  <si>
    <t>t004007</t>
  </si>
  <si>
    <t>Інструмент e.tool.strip.1042.0,2.1,25 для зняття ізоляції проводів перетином 0,2-1,25 кв.мм</t>
  </si>
  <si>
    <t>t004008</t>
  </si>
  <si>
    <t>Інструмент e.tool.strip.1043.0,25.0,65 для зняття ізоляції проводів перетином 0,25-0,65 кв.мм</t>
  </si>
  <si>
    <t>t004001</t>
  </si>
  <si>
    <t>Інструмент e.tool.strip.700.a.0,5.2 для зняття ізоляції проводів перетином 0,5-2 кв.мм</t>
  </si>
  <si>
    <t>t004002</t>
  </si>
  <si>
    <t>Інструмент e.tool.strip.700.b.1.3,2 для зняття ізоляції проводів перетином 1-3,2 кв.мм</t>
  </si>
  <si>
    <t>t004004</t>
  </si>
  <si>
    <t>Інструмент e.tool.strip.700.n.0,5.3,2 для зняття ізоляції проводів перетином 0,5-3,2 кв.мм</t>
  </si>
  <si>
    <t>t004003</t>
  </si>
  <si>
    <t>Інструмент e.tool.strip.700.d.0,2.4 для зняття ізоляції проводів перетином 0,2-4 кв.мм</t>
  </si>
  <si>
    <t>3.Інструмент для обтиску наконечників CRIMP</t>
  </si>
  <si>
    <t>t002001</t>
  </si>
  <si>
    <t>Інструмент e.tool.crimp.hs.04.wf.1.6 для обтиску ізольованих або неізольованих наконечників 1,0-6,0 кв.мм</t>
  </si>
  <si>
    <t>t002003</t>
  </si>
  <si>
    <t>Інструмент e.tool.crimp.hs.10.1,5.6 для обтиску неізольованих наконечників 1,5-6,0 кв.мм</t>
  </si>
  <si>
    <t>t002004</t>
  </si>
  <si>
    <t>Інструмент e.tool.crimp.hs.101.1.10 для обтиску неізольованих наконечників 1,0-10,0 кв.мм</t>
  </si>
  <si>
    <t>t002002</t>
  </si>
  <si>
    <t>Інструмент e.tool.crimp.hs.30.j.0,5.6 для обтиску ізольованих наконечників 1,5-6,0 кв.мм</t>
  </si>
  <si>
    <t>t002005</t>
  </si>
  <si>
    <t>Інструмент e.tool.crimp.ly.03.c.0,5.6 для обтиску ізольованих наконечників 0,5-6,0 кв.мм</t>
  </si>
  <si>
    <t>t002009</t>
  </si>
  <si>
    <t>Інструмент e.tool.crimp.hs.22.6.25 для обтиску неізольованих наконечників 5.5-25 кв.мм</t>
  </si>
  <si>
    <t>t002010</t>
  </si>
  <si>
    <t>Інструмент e.tool.crimp.hs.38.6.35 для обтиску неізольованих наконечників 5.5-35 кв.мм</t>
  </si>
  <si>
    <t>t002008</t>
  </si>
  <si>
    <t>Інструмент e.tool.crimp.hx.16.6.16 для обтиску неізольованих наконечників 6-16 кв.мм</t>
  </si>
  <si>
    <t>t002007</t>
  </si>
  <si>
    <t>Інструмент e.tool.crimp.hx.26.b.6.25 для обтиску неізольованих наконечників 6-25 кв.мм</t>
  </si>
  <si>
    <t>t002012</t>
  </si>
  <si>
    <t>Інструмент e.tool.crimp.hx.120.b.10.120 для обтиску кабельних наконечників 10-120 кв.мм</t>
  </si>
  <si>
    <t>t002013</t>
  </si>
  <si>
    <t>Інструмент e.tool.crimp.hx.150.b.25.150 для обтиску кабельних наконечників 25-150 кв.мм</t>
  </si>
  <si>
    <t>t002014</t>
  </si>
  <si>
    <t>Інструмент e.tool.crimp.hx.245.b.75.240 для обтиску кабельних наконечників 70-240 кв.мм</t>
  </si>
  <si>
    <t>t002011</t>
  </si>
  <si>
    <t>Інструмент e.tool.crimp.hx.50.b.6.50 для обтиску кабельних наконечників 6-50 кв.мм</t>
  </si>
  <si>
    <t>t002006</t>
  </si>
  <si>
    <t>Інструмент e.tool.crimp.hs.202.b.0,35.5,5 для обтиску ізольованих або неізольованих наконечників 0,35-5,5 кв.мм</t>
  </si>
  <si>
    <t>t002016</t>
  </si>
  <si>
    <t>Інструмент e.tool.crimp.hs.313 для обтиску, різки, зачистки проводів</t>
  </si>
  <si>
    <t>t002015</t>
  </si>
  <si>
    <t>Інструмент e.tool.crimp.hsc.8.6.4 для обтиску ізольованих наконечників 0,08-6 кв.мм</t>
  </si>
  <si>
    <t>t002017</t>
  </si>
  <si>
    <t>Інструмент e.tool.crimp.jt.150 для обтиску кабельних наконечників</t>
  </si>
  <si>
    <t>t002018</t>
  </si>
  <si>
    <t>Інструмент e.tool.crimp.hsc.8.16.4 для обтиску ізольованих наконечників, 6-16 кв.мм</t>
  </si>
  <si>
    <t>4.Інструмент для затягування хомутів TIE</t>
  </si>
  <si>
    <t>t007002</t>
  </si>
  <si>
    <t>Інструмент e.tool.tie.hs.519.500 для затягування хомутів довжиною 50-500мм, шириною 2,3-9мм</t>
  </si>
  <si>
    <t>t007003</t>
  </si>
  <si>
    <t>Інструмент e.tool.tie.tg.100.145 для затягування хомутів</t>
  </si>
  <si>
    <t>5.Тестери-викрутки TEST</t>
  </si>
  <si>
    <t>t001101</t>
  </si>
  <si>
    <t>Індикатор e.tool.test01  130х3 прямий шліц АС100-500В</t>
  </si>
  <si>
    <t>t001102</t>
  </si>
  <si>
    <t>Індикатор-викрутка e.tool.test02  140х3,5 прямий шліц АС100-500В</t>
  </si>
  <si>
    <t>t001103</t>
  </si>
  <si>
    <t>Індикатор e.tool.test03  155х4,5 прямий шліц АС100-500В</t>
  </si>
  <si>
    <t>t001104</t>
  </si>
  <si>
    <t>Індикатор-викрутка e.tool.test04  190х4 прямий шліц АС100-500В</t>
  </si>
  <si>
    <t>t001105</t>
  </si>
  <si>
    <t>Індикатор-викрутка e.tool.test05  165х4,5 прямий шліц АС100-500В</t>
  </si>
  <si>
    <t>t001106</t>
  </si>
  <si>
    <t>Індикатор-викрутка e.tool.test06  155х3хph0 прямий+хрестовий  АС100-500В</t>
  </si>
  <si>
    <t>t001107</t>
  </si>
  <si>
    <t>Індикатор-викрутка e.tool.test07  190х4,5хph1 прямий+хрестовий  АС100-500В</t>
  </si>
  <si>
    <t>t001108</t>
  </si>
  <si>
    <t>Індикатор-тестер e.tool.test08  140х3,5 прямий шліц АС/DC70-250В</t>
  </si>
  <si>
    <t>t001109</t>
  </si>
  <si>
    <t>Індикатор-тестер e.tool.test09  140х3 прямий шліц АС/DC70-250В</t>
  </si>
  <si>
    <t>t001110</t>
  </si>
  <si>
    <t>Індикатор-тестер e.tool.test10  130х3 прямий шліц АС/DC12-250В</t>
  </si>
  <si>
    <t>t001111</t>
  </si>
  <si>
    <t>Індикатор e.tool.test11  185мм двополюсний  АС/DC6-380В</t>
  </si>
  <si>
    <t>6.Плоскогубці, круглогубці, кусачки PLIERS</t>
  </si>
  <si>
    <t>t005007</t>
  </si>
  <si>
    <t>Качконоси e.tool.pliers.ts.04301</t>
  </si>
  <si>
    <t>t005008</t>
  </si>
  <si>
    <t>Качконоси e.tool.pliers.ts.04302</t>
  </si>
  <si>
    <t>t005009</t>
  </si>
  <si>
    <t>Бокорізи e.tool.pliers.ts.04305</t>
  </si>
  <si>
    <t>t005010</t>
  </si>
  <si>
    <t>Плоскогубці e.tool.pliers.ts.04308</t>
  </si>
  <si>
    <t>t005011</t>
  </si>
  <si>
    <t>Плоскогубці e.tool.pliers.ts.04309</t>
  </si>
  <si>
    <t>t005001</t>
  </si>
  <si>
    <t>Кусачки e.tool.pliers.ts.04312 (плоскогубці)</t>
  </si>
  <si>
    <t>t005002</t>
  </si>
  <si>
    <t>Плоскогубці e.tool.pliers.ts.04313</t>
  </si>
  <si>
    <t>t005003</t>
  </si>
  <si>
    <t>Кусачки e.tool.pliers.ts.04315  (качконоси)</t>
  </si>
  <si>
    <t>t005004</t>
  </si>
  <si>
    <t>Качконоси e.tool.pliers.ts.04316</t>
  </si>
  <si>
    <t>t005005</t>
  </si>
  <si>
    <t>Кусачки e.tool.pliers.ts.04317 (бокорізи)</t>
  </si>
  <si>
    <t>t005006</t>
  </si>
  <si>
    <t>Кусачки e.tool.pliers.ts.04318</t>
  </si>
  <si>
    <t>7.Інструмент для мережевого проводу</t>
  </si>
  <si>
    <t>t006001</t>
  </si>
  <si>
    <t>Інструмент e.tool.crimp.hs.2008.r для обтиску 4-х, 6-і і 8-і PIN конекторів</t>
  </si>
  <si>
    <t>t006010</t>
  </si>
  <si>
    <t>Інструмент e.tool.crimp.ht.208.m для обтиску конекторів, зачистки та різки кабелю</t>
  </si>
  <si>
    <t>t006003</t>
  </si>
  <si>
    <t>Інструмент e.tool.crimp.ht.568.r для обтиску 6-і і 8-і PIN конекторів</t>
  </si>
  <si>
    <t>t006005</t>
  </si>
  <si>
    <t>Інструмент e.tool.plint.ly.314.kr плінтовий</t>
  </si>
  <si>
    <t>t006004</t>
  </si>
  <si>
    <t>Інструмент e.tool.plint.qh.613.314 плінтовий</t>
  </si>
  <si>
    <t>t006008</t>
  </si>
  <si>
    <t>Інструмент e.tool.strip.uni</t>
  </si>
  <si>
    <t>8.Інструмент гідравлічний та матриці</t>
  </si>
  <si>
    <t>t008005</t>
  </si>
  <si>
    <t>Матриця Е140 для обтиску ізольованих гільз до інструменту e.tool.crimp.jt.150 та e.tool.crimp.hydr.4.150</t>
  </si>
  <si>
    <t>t008006</t>
  </si>
  <si>
    <t>Матриця Е173 для обтиску ізольованих гільз  до інструменту e.tool.crimp.jt.150 та e.tool.crimp.hydr.4.150</t>
  </si>
  <si>
    <t>t008007</t>
  </si>
  <si>
    <t>Матриця Е215 для обтиску ізольованих гільз до інструменту e.tool.crimp.jt.150 та e.tool.crimp.hydr.4.150</t>
  </si>
  <si>
    <t>t008008</t>
  </si>
  <si>
    <t>Матриця Е140-E173 для обтиску ізольованих гільз  до інструменту e.tool.crimp.hydr.p.10.150</t>
  </si>
  <si>
    <t>t008010</t>
  </si>
  <si>
    <t>Матриця Е215 для обтиску ізольованих гільз  до інструменту e.tool.crimp.hydr.p.10.150</t>
  </si>
  <si>
    <t>t008014</t>
  </si>
  <si>
    <t>Матриця Е140 для обтиску ізольованих гільз  до інструменту e.tool.uni.hydr.16.300.22.60,5</t>
  </si>
  <si>
    <t>t008015</t>
  </si>
  <si>
    <t>Матриця Е173 для обтиску ізольованих гільз  до інструменту e.tool.uni.hydr.16.300.22.60,5</t>
  </si>
  <si>
    <t>t008016</t>
  </si>
  <si>
    <t>Матриця Е215 для обтиску ізольованих гільз  до інструменту e.tool.uni.hydr.16.300.22.60,5</t>
  </si>
  <si>
    <t>9.Викрутки ізольовані PH, ST</t>
  </si>
  <si>
    <t>t009005</t>
  </si>
  <si>
    <t>Викрутка ізольована e.tool.ph.303 (PH0*75) хрест</t>
  </si>
  <si>
    <t>t009006</t>
  </si>
  <si>
    <t>Викрутка ізольована e.tool.ph.403 (PH1*75) хрест</t>
  </si>
  <si>
    <t>t009007</t>
  </si>
  <si>
    <t>Викрутка ізольована e.tool.ph.604 (PH2*100) хрест</t>
  </si>
  <si>
    <t>t009001</t>
  </si>
  <si>
    <t>Викрутка ізольована e.tool.st.303 (3*75) шліц</t>
  </si>
  <si>
    <t>t009002</t>
  </si>
  <si>
    <t>Викрутка ізольована e.tool.st.404 (4*100) шліц</t>
  </si>
  <si>
    <t>t009003</t>
  </si>
  <si>
    <t>Викрутка ізольована e.tool.st.505 (5.5*125) шліц</t>
  </si>
  <si>
    <t>t009004</t>
  </si>
  <si>
    <t>Викрутка ізольована e.tool.st.606 (6.5*150) шліц</t>
  </si>
  <si>
    <t>10.Набори викруток ізольованих SET</t>
  </si>
  <si>
    <t>t009008</t>
  </si>
  <si>
    <t>Набір викруток ізольованих e.tool.set.8000.8</t>
  </si>
  <si>
    <t>t009009</t>
  </si>
  <si>
    <t>Набір викруток ізольованих e.tool.set.8000.11</t>
  </si>
  <si>
    <t>t009010</t>
  </si>
  <si>
    <t>Набір викруток ізольованих e.tool.set.8500.11</t>
  </si>
  <si>
    <t>t009011</t>
  </si>
  <si>
    <t>Набір викруток ізольованих e.tool.set.8500.12</t>
  </si>
  <si>
    <t>11.Ключі ізольовані</t>
  </si>
  <si>
    <t>p0470016</t>
  </si>
  <si>
    <t>Ключ ізольований ріжковий e.insulating.open.wrench.40109,  9мм</t>
  </si>
  <si>
    <t>p0470017</t>
  </si>
  <si>
    <t>Ключ ізольований ріжковий e.insulating.open.wrench.40113,  13мм</t>
  </si>
  <si>
    <t>p0470018</t>
  </si>
  <si>
    <t>Ключ ізольований ріжковий e.insulating.open.wrench.40117,  17мм</t>
  </si>
  <si>
    <t>p0470019</t>
  </si>
  <si>
    <t>Ключ ізольований ріжковий e.insulating.open.wrench.40119,  19мм</t>
  </si>
  <si>
    <t>p0470012</t>
  </si>
  <si>
    <t>Ключ ізольований накидний e.insulating.ring.spanner.40309,  9мм</t>
  </si>
  <si>
    <t>p0470013</t>
  </si>
  <si>
    <t>Ключ ізольований накидний e.insulating.ring.spanner.40313,  13мм</t>
  </si>
  <si>
    <t>p0470014</t>
  </si>
  <si>
    <t>Ключ ізольований накидний e.insulating.ring.spanner.40317,  17мм</t>
  </si>
  <si>
    <t>p0470015</t>
  </si>
  <si>
    <t>Ключ ізольований накидний e.insulating.ring.spanner.40319,  19мм</t>
  </si>
  <si>
    <t>12.Мультиметри MULTITEST</t>
  </si>
  <si>
    <t>p0470020</t>
  </si>
  <si>
    <t>Мультиметр цифровий e.tool.multitest.01</t>
  </si>
  <si>
    <t>p0470021</t>
  </si>
  <si>
    <t>Мультиметр-кліщі цифровий e.tool.multitest.02 1000А</t>
  </si>
  <si>
    <t>p0470022</t>
  </si>
  <si>
    <t>Детектор скритої проводки e.tool.multitest.03</t>
  </si>
  <si>
    <t>p0470023</t>
  </si>
  <si>
    <t>Мегаомметр цифровий e.tool.multitest.04 з функцією мультиметра</t>
  </si>
  <si>
    <t>p0470024</t>
  </si>
  <si>
    <t>Покажчик фаз e.tool.multitest.05</t>
  </si>
  <si>
    <t>p0470025</t>
  </si>
  <si>
    <t>Люксметр цифровий e.tool.multitest.06 0-50000лк</t>
  </si>
  <si>
    <t>p0470026</t>
  </si>
  <si>
    <t>Термометр цифровий e.tool.multitest.07 -40…+250С</t>
  </si>
  <si>
    <t>p0470027</t>
  </si>
  <si>
    <t>Далекомір лазерний e.tool.multitest.08   0,03-40м</t>
  </si>
  <si>
    <t>13.Ящики для інструментів TOOLBOX</t>
  </si>
  <si>
    <t>t010001</t>
  </si>
  <si>
    <t>Органайзер пластиковий e.toolbox.01, 230х120х37мм</t>
  </si>
  <si>
    <t>t010002</t>
  </si>
  <si>
    <t>Органайзер пластиковий e.toolbox.02, 274х180х45мм</t>
  </si>
  <si>
    <t>t010003</t>
  </si>
  <si>
    <t>Органайзер пластиковий e.toolbox.03, 360х220х51мм</t>
  </si>
  <si>
    <t>t010007</t>
  </si>
  <si>
    <t>Органайзер-кейс пластиковий, e.toolbox.04, 320х250х60мм</t>
  </si>
  <si>
    <t>t010008</t>
  </si>
  <si>
    <t>Органайзер-кейс пластиковий, e.toolbox.05, 380х310х70мм</t>
  </si>
  <si>
    <t>t010009</t>
  </si>
  <si>
    <t>Органайзер-кейс пластиковий, e.toolbox.06, 460х360х80мм</t>
  </si>
  <si>
    <t>t010004</t>
  </si>
  <si>
    <t>Ящик для інструментів, e.toolbox.07, 280х117х82мм</t>
  </si>
  <si>
    <t>t010005</t>
  </si>
  <si>
    <t>Ящик для інструментів, e.toolbox.08, 380х204х180мм</t>
  </si>
  <si>
    <t>t010006</t>
  </si>
  <si>
    <t>Ящик для інструментів, e.toolbox.09, 432х248х240мм</t>
  </si>
  <si>
    <t>t010010</t>
  </si>
  <si>
    <t>Бокс-органайзер, e.toolbox.10, 415х225х190мм</t>
  </si>
  <si>
    <t>t010011</t>
  </si>
  <si>
    <t>Ящик для інструментів, e.toolbox.11, 320х180х130мм</t>
  </si>
  <si>
    <t>t010012</t>
  </si>
  <si>
    <t>Бокс пластиковий для інструментів, e.toolbox.12, 395х215х175мм</t>
  </si>
  <si>
    <t>t010013</t>
  </si>
  <si>
    <t>Ящик для інструментів, e.toolbox.13 BLACK, 225х130х115мм</t>
  </si>
  <si>
    <t>t0100130</t>
  </si>
  <si>
    <t>Ящик для інструментів, e.toolbox.13 BLUE, 225х130х115мм</t>
  </si>
  <si>
    <t>t010014</t>
  </si>
  <si>
    <t>Ящик для інструментів, e.toolbox.14, 330х200х150мм</t>
  </si>
  <si>
    <t>t010015</t>
  </si>
  <si>
    <t>Ящик для інструментів e.toolbox.15, 370х205х170мм</t>
  </si>
  <si>
    <t>t010016</t>
  </si>
  <si>
    <t>Органайзер пластиковий e.toolbox.16, 220х155х60мм</t>
  </si>
  <si>
    <t>t010017</t>
  </si>
  <si>
    <t>Органайзер-кейс пластиковий, e.toolbox.17, 220х290х60мм</t>
  </si>
  <si>
    <t>10.Силові роз'єми, подовжувачі, електроустановочні вироби</t>
  </si>
  <si>
    <t>1.Роз'єми силові</t>
  </si>
  <si>
    <t>1.Вилки силові пластикові PLUG серії PRO</t>
  </si>
  <si>
    <t>p011010</t>
  </si>
  <si>
    <t>Силова вилка переносна e.plug.pro.2.16, 2п., 230В, 16А (012)</t>
  </si>
  <si>
    <t>p011001</t>
  </si>
  <si>
    <t>Силова вилка переносна e.plug.pro.3.16, 3п., 230В, 16А (013)</t>
  </si>
  <si>
    <t>p011004</t>
  </si>
  <si>
    <t>Силова вилка переносна e.plug.pro.4.16, 4п., 380В, 16А (014)</t>
  </si>
  <si>
    <t>p011007</t>
  </si>
  <si>
    <t>Силова вилка переносна e.plug.pro.5.16, 5п., 380В, 16А (015)</t>
  </si>
  <si>
    <t>p011002</t>
  </si>
  <si>
    <t>Силова вилка переносна e.plug.pro.3.32, 3п., 230В, 32А (023)</t>
  </si>
  <si>
    <t>p011005</t>
  </si>
  <si>
    <t>Силова вилка переносна e.plug.pro.4.32, 4п., 380В, 32А (024)</t>
  </si>
  <si>
    <t>p011008</t>
  </si>
  <si>
    <t>Силова вилка переносна e.plug.pro.5.32, 5п., 380В, 32А (025)</t>
  </si>
  <si>
    <t>p011003</t>
  </si>
  <si>
    <t>Силова вилка переносна e.plug.pro.3.63, 3п., 230В, 63А (033)</t>
  </si>
  <si>
    <t>p011006</t>
  </si>
  <si>
    <t>Силова вилка переносна e.plug.pro.4.63, 4п., 380В, 63А (034)</t>
  </si>
  <si>
    <t>p011009</t>
  </si>
  <si>
    <t>Силова вилка переносна e.plug.pro.5.63, 5п., 380В, 63А (035)</t>
  </si>
  <si>
    <t>p011011</t>
  </si>
  <si>
    <t>Силова вилка переносна e.plug.pro.4.125, 4п., 380В,IP 67, 125А (044)</t>
  </si>
  <si>
    <t>p011012</t>
  </si>
  <si>
    <t>Силова вилка переносна e.plug.pro.5.125, 5п., 380В, IP 67, 125А (045)</t>
  </si>
  <si>
    <t>2.Розетки силові пластикові SOCKET серії PRO</t>
  </si>
  <si>
    <t>p012023</t>
  </si>
  <si>
    <t>Силова розетка, що вбудовується e.socket.029.8.16,2Р+Z, 250В, 16А, IP44 Shuko</t>
  </si>
  <si>
    <t>p012001</t>
  </si>
  <si>
    <t>Силова розетка стаціонарна e.socket.pro.3.16, 3п., 230В, 16А (113)</t>
  </si>
  <si>
    <t>p012004</t>
  </si>
  <si>
    <t>Силова розетка стаціонарна e.socket.pro.4.16, 4п., 380В, 16А (114)</t>
  </si>
  <si>
    <t>p012007</t>
  </si>
  <si>
    <t>Силова розетка стаціонарна e.socket.pro.5.16, 5п., 380В, 16А (115)</t>
  </si>
  <si>
    <t>p012002</t>
  </si>
  <si>
    <t>Силова розетка стаціонарна e.socket.pro.3.32, 3п., 230В, 32А (123)</t>
  </si>
  <si>
    <t>p012005</t>
  </si>
  <si>
    <t>Силова розетка стаціонарна e.socket.pro.4.32, 4п., 380В, 32А (124)</t>
  </si>
  <si>
    <t>p012008</t>
  </si>
  <si>
    <t>Силова розетка стаціонарна e.socket.pro.5.32, 5п., 380В, 32А (125)</t>
  </si>
  <si>
    <t>p012003</t>
  </si>
  <si>
    <t>Силова розетка стаціонарна e.socket.pro.3.63, 3п., 230В, 63А (133)</t>
  </si>
  <si>
    <t>p012006</t>
  </si>
  <si>
    <t>Силова розетка стаціонарна e.socket.pro.4.63, 4п., 380В, 63А (134)</t>
  </si>
  <si>
    <t>p012009</t>
  </si>
  <si>
    <t>Силова розетка стаціонарна e.socket.pro.5.63, 5п., 380В, 63А (135)</t>
  </si>
  <si>
    <t>p012028</t>
  </si>
  <si>
    <t>Силова розетка стаціонарна e.socket.144.125.67, 4п., 400В,  125А, IP 67</t>
  </si>
  <si>
    <t>p012029</t>
  </si>
  <si>
    <t>Силова розетка стаціонарна e.socket.145.125.67, 5п., 400В, 125А, IP 67</t>
  </si>
  <si>
    <t>p012022</t>
  </si>
  <si>
    <t>Силова розетка переносна e.socket.pro.2.16, 2п., 230В, 16А (212)</t>
  </si>
  <si>
    <t>p012016</t>
  </si>
  <si>
    <t>Силова розетка переносна e.socket.pro.3.16, 3п., 230В, 16А (213)</t>
  </si>
  <si>
    <t>p012017</t>
  </si>
  <si>
    <t>Силова розетка переносна e.socket.pro.4.16, 4п., 380В, 16А (214)</t>
  </si>
  <si>
    <t>p012018</t>
  </si>
  <si>
    <t>Силова розетка переносна e.socket.pro.5.16, 5п., 380В, 16А (215)</t>
  </si>
  <si>
    <t>p012019</t>
  </si>
  <si>
    <t>Силова розетка переносна e.socket.pro.3.32, 3п., 230В, 32А (223)</t>
  </si>
  <si>
    <t>p012020</t>
  </si>
  <si>
    <t>Силова розетка переносна e.socket.pro.4.32, 4п., 380В, 32А (224)</t>
  </si>
  <si>
    <t>p012021</t>
  </si>
  <si>
    <t>Силова розетка переносна e.socket.pro.5.32, 5п., 380В, 32А (225)</t>
  </si>
  <si>
    <t>p012024</t>
  </si>
  <si>
    <t>Силова розетка переносна e.socket.pro.4.63, 4п., 380В, IP 67, 63А (234)</t>
  </si>
  <si>
    <t>p012025</t>
  </si>
  <si>
    <t>Силова розетка переносна e.socket.pro.5.63, 5п., 380В, IP 67, 63А (235)</t>
  </si>
  <si>
    <t>p012026</t>
  </si>
  <si>
    <t>Силова розетка переносна e.socket.pro.4.125, 4п., 380В, IP 67, 125А (244)</t>
  </si>
  <si>
    <t>p012027</t>
  </si>
  <si>
    <t>Силова розетка переносна e.socket.pro.5.125, 5п., 380В, IP 67, 125А (245)</t>
  </si>
  <si>
    <t>p012010</t>
  </si>
  <si>
    <t>Силова розетка, що вбудовується e.socket.pro.3.16.wall, 3п., 230В, 16А (413)</t>
  </si>
  <si>
    <t>p012012</t>
  </si>
  <si>
    <t>Силова розетка, що вбудовується e.socket.pro.4.16.wall, 4п., 380В, 16А (414)</t>
  </si>
  <si>
    <t>p012014</t>
  </si>
  <si>
    <t>Силова розетка, що вбудовується e.socket.pro.5.16.wall, 5п., 380В, 16А (415)</t>
  </si>
  <si>
    <t>p012011</t>
  </si>
  <si>
    <t>Силова розетка, що вбудовується e.socket.pro.3.32.wall, 3п., 230В, 32А (423)</t>
  </si>
  <si>
    <t>p012013</t>
  </si>
  <si>
    <t>Силова розетка, що вбудовується e.socket.pro.4.32.wall, 4п., 380В, 32А (424)</t>
  </si>
  <si>
    <t>p012015</t>
  </si>
  <si>
    <t>Силова розетка, що вбудовується e.socket.pro.5.32.wall, 5п., 380В, 32А (425)</t>
  </si>
  <si>
    <t>3.Роз'єми силові пластикові серії INDUSTRIAL IP67</t>
  </si>
  <si>
    <t>i082001</t>
  </si>
  <si>
    <t>Силова вилка переносна e.plug.013.16.67, 3п., 230В, 16А, IP 67</t>
  </si>
  <si>
    <t>i082002</t>
  </si>
  <si>
    <t>Силова вилка переносна e.plug.014.16.67, 4п., 400В, 16А, IP 67</t>
  </si>
  <si>
    <t>i082003</t>
  </si>
  <si>
    <t>Силова вилка переносна e.plug.015.16.67, 5п., 400В, 16А, IP 67</t>
  </si>
  <si>
    <t>i082004</t>
  </si>
  <si>
    <t>Силова вилка переносна e.plug.023.32.67, 3п., 230В, 32А, IP 67</t>
  </si>
  <si>
    <t>i082005</t>
  </si>
  <si>
    <t>Силова вилка переносна e.plug.024.32.67, 4п., 400В, 32А, IP 67</t>
  </si>
  <si>
    <t>i082006</t>
  </si>
  <si>
    <t>Силова вилка переносна e.plug.025.32.67, 5п., 400В, 32А, IP 67</t>
  </si>
  <si>
    <t>i082007</t>
  </si>
  <si>
    <t>Силова розетка стаціонарна e.socket.113.16.67, 3п., 230В, 16А, IP 67</t>
  </si>
  <si>
    <t>i082008</t>
  </si>
  <si>
    <t>Силова розетка стаціонарна e.socket.114.16.67, 4п., 400В, 16А , IP 67</t>
  </si>
  <si>
    <t>i082009</t>
  </si>
  <si>
    <t>Силова розетка стаціонарна e.socket.115.16.67, 5п., 400В, 16А , IP 67</t>
  </si>
  <si>
    <t>i082010</t>
  </si>
  <si>
    <t>Силова розетка стаціонарна e.socket.123.32.67, 3п., 230В, 32А , IP 67</t>
  </si>
  <si>
    <t>i082011</t>
  </si>
  <si>
    <t>Силова розетка стаціонарна e.socket.124.32.67, 4п., 400В, 32А , IP 67</t>
  </si>
  <si>
    <t>i082012</t>
  </si>
  <si>
    <t>Силова розетка стаціонарна e.socket.125.32.67, 5п., 400В, 32А, IP 67</t>
  </si>
  <si>
    <t>i082013</t>
  </si>
  <si>
    <t>Силова розетка переносна e.socket.213.16.67, 3п., 230В, 16А , IP 67</t>
  </si>
  <si>
    <t>i082014</t>
  </si>
  <si>
    <t>Силова розетка переносна e.socket.214.16.67, 4п., 400В, 16А , IP 67</t>
  </si>
  <si>
    <t>i082015</t>
  </si>
  <si>
    <t>Силова розетка переносна e.socket.215.16.67, 5п., 400В, 16А , IP 67</t>
  </si>
  <si>
    <t>i082016</t>
  </si>
  <si>
    <t>Силова розетка переносна e.socket.223.32.67, 3п., 230В, 32А , IP 67</t>
  </si>
  <si>
    <t>i082017</t>
  </si>
  <si>
    <t>Силова розетка переносна e.socket.224.32.67, 4п., 400В, 32А, IP 67</t>
  </si>
  <si>
    <t>i082018</t>
  </si>
  <si>
    <t>Силова розетка переносна e.socket.225.32.67, 5п., 400В, 32А, IP 67</t>
  </si>
  <si>
    <t>4.Вилки силові пластикові серії TAREL</t>
  </si>
  <si>
    <t>3322-326</t>
  </si>
  <si>
    <t>Силова вилка переносна 2Р, 24В, 16А, IP44</t>
  </si>
  <si>
    <t>067</t>
  </si>
  <si>
    <t>Силова вилка переносна 2Р+Z, 250В, 16А, IP44</t>
  </si>
  <si>
    <t>3624-337</t>
  </si>
  <si>
    <t>Силова вилка переносна 2Р+Z, 250В, 16А,IP67</t>
  </si>
  <si>
    <t>007</t>
  </si>
  <si>
    <t>Силова вилка переносна 3P+Z, 400В, 16А, IP44</t>
  </si>
  <si>
    <t>009</t>
  </si>
  <si>
    <t>Силова вилка переносна 3P+Z, 400В, 32А, IP44</t>
  </si>
  <si>
    <t>043</t>
  </si>
  <si>
    <t>Силова вилка переносна 3Р+N+Z, 400В, 16А, IP44</t>
  </si>
  <si>
    <t>3626-337</t>
  </si>
  <si>
    <t>Силова вилка переносна 3Р+N+Z, 400В, 16А,IP67</t>
  </si>
  <si>
    <t>044</t>
  </si>
  <si>
    <t>Силова вилка переносна 3Р+N+Z, 400В, 32А, IP44</t>
  </si>
  <si>
    <t>3646-337</t>
  </si>
  <si>
    <t>Силова вилка переносна 3Р+N+Z, 400В, 32А,IP67</t>
  </si>
  <si>
    <t>049</t>
  </si>
  <si>
    <t>Силова вилка переносна 3Р+N+Z, 400В, 63А,IP57</t>
  </si>
  <si>
    <t>3629-724</t>
  </si>
  <si>
    <t>Силова вилка переносна кутова 2Р+Z, 250В,16A,IP44</t>
  </si>
  <si>
    <t>3622-724</t>
  </si>
  <si>
    <t>Силова вилка переносна кутова 3Р+N+Z, 400В, 16А, IP44</t>
  </si>
  <si>
    <t>3642-724</t>
  </si>
  <si>
    <t>Силова вилка переносна кутова 3Р+N+Z, 400В,32A,IP44</t>
  </si>
  <si>
    <t>3623-724</t>
  </si>
  <si>
    <t>Силова вилка переносна кутова 3Р+Z, 400В,16A,IP44</t>
  </si>
  <si>
    <t>3643-724</t>
  </si>
  <si>
    <t>Силова вилка переносна кутова 3Р+Z, 400В,32A,IP44</t>
  </si>
  <si>
    <t>3628-326</t>
  </si>
  <si>
    <t>Силова вилка переносна розбірна 3Р+N+Z, 400В, 16А, IP44</t>
  </si>
  <si>
    <t>3648-326</t>
  </si>
  <si>
    <t>Силова вилка переносна розбірна 3Р+N+Z, 400В,32A,IP44</t>
  </si>
  <si>
    <t>3627-326</t>
  </si>
  <si>
    <t>Силова вилка переносна розбірна 3Р+Z, 400В,16A,IP44</t>
  </si>
  <si>
    <t>3647-326</t>
  </si>
  <si>
    <t>Силова вилка переносна розбірна 3Р+Z, 400В,32A,IP44</t>
  </si>
  <si>
    <t>3624-230</t>
  </si>
  <si>
    <t>Силова вилка стаціонарна 2Р+Z, 250В, 16А,IP67</t>
  </si>
  <si>
    <t>3629-220</t>
  </si>
  <si>
    <t>Силова вилка стаціонарна 2Р+Z, 250В,16A,IP44</t>
  </si>
  <si>
    <t>3643-220</t>
  </si>
  <si>
    <t>Силова вилка стаціонарна 3P+N, 400В, 32А, IP44</t>
  </si>
  <si>
    <t>3622-220</t>
  </si>
  <si>
    <t>Силова вилка стаціонарна 3P+N+PE, 400В, 16А, IP44</t>
  </si>
  <si>
    <t>3642-220</t>
  </si>
  <si>
    <t>Силова вилка стаціонарна 3P+N+Z, 400В, 32А, IP44</t>
  </si>
  <si>
    <t>3626-230</t>
  </si>
  <si>
    <t>Силова вилка стаціонарна 3Р+N+Z, 400В, 16А,IP67</t>
  </si>
  <si>
    <t>3646-230</t>
  </si>
  <si>
    <t>Силова вилка стаціонарна 3Р+N+Z, 400В, 32А,IP67</t>
  </si>
  <si>
    <t>3623-220</t>
  </si>
  <si>
    <t>Силова вилка стаціонарна 3Р+Z, 400В,16A,IP44</t>
  </si>
  <si>
    <t>5.Вилки силові пластикові серії TAREL безгвинтові</t>
  </si>
  <si>
    <t>106S</t>
  </si>
  <si>
    <t>Силова вилка переносна розбірна 3Р+Z, 400В,32A,IP44 безгвинтова</t>
  </si>
  <si>
    <t>6. Розетки силові пластикові серії TAREL</t>
  </si>
  <si>
    <t>056</t>
  </si>
  <si>
    <t>Коробка установча16-32А</t>
  </si>
  <si>
    <t>2629-326</t>
  </si>
  <si>
    <t>Силова розетка переносна 2Р+Z, 250В, 16А, IP44</t>
  </si>
  <si>
    <t>2624-337</t>
  </si>
  <si>
    <t>Силова розетка переносна 2Р+Z, 250В, 16А, IP67</t>
  </si>
  <si>
    <t>2643-326</t>
  </si>
  <si>
    <t>Силова розетка переносна 3Р+N, 400В, 32А, IP44</t>
  </si>
  <si>
    <t>2622-326</t>
  </si>
  <si>
    <t>Силова розетка переносна 3Р+N+PE, 250/400В, 16А, IP44</t>
  </si>
  <si>
    <t>2642-326</t>
  </si>
  <si>
    <t>Силова розетка переносна 3Р+N+PE, 250/400В, 32А, IP44</t>
  </si>
  <si>
    <t>2626-337</t>
  </si>
  <si>
    <t>Силова розетка переносна 3Р+N+Z, 400В, 16А, IP67</t>
  </si>
  <si>
    <t>2646-337</t>
  </si>
  <si>
    <t>Силова розетка переносна 3Р+N+Z, 400В, 32А, IP67</t>
  </si>
  <si>
    <t>2666-337</t>
  </si>
  <si>
    <t>Силова розетка переносна 3Р+N+Z, 400В, 63А, IP67</t>
  </si>
  <si>
    <t>2627-326</t>
  </si>
  <si>
    <t>Силова розетка переносна 3Р+Z, 400В, 16А, IP44</t>
  </si>
  <si>
    <t>2322-126</t>
  </si>
  <si>
    <t>Силова розетка стаціонарна 2Р, 24В, 16А, IP44</t>
  </si>
  <si>
    <t>2624-137</t>
  </si>
  <si>
    <t>Силова розетка стаціонарна 2Р+Z, 250В, 16А, IP67</t>
  </si>
  <si>
    <t>445</t>
  </si>
  <si>
    <t>Силова розетка стаціонарна 3Р+N+Z, 400В, 16А, IP44</t>
  </si>
  <si>
    <t>2626-137</t>
  </si>
  <si>
    <t>Силова розетка стаціонарна 3Р+N+Z, 400В, 16А, IP67</t>
  </si>
  <si>
    <t>446</t>
  </si>
  <si>
    <t>Силова розетка стаціонарна 3Р+N+Z, 400В, 32А, IP44</t>
  </si>
  <si>
    <t>2646-137</t>
  </si>
  <si>
    <t>Силова розетка стаціонарна 3Р+N+Z, 400В, 32А, IP67</t>
  </si>
  <si>
    <t>050</t>
  </si>
  <si>
    <t>Силова розетка стаціонарна 3Р+N+Z, 400В, 63А, IP57</t>
  </si>
  <si>
    <t>447</t>
  </si>
  <si>
    <t>Силова розетка стаціонарна 3Р+Z, 400В, 16А, IP44</t>
  </si>
  <si>
    <t>047</t>
  </si>
  <si>
    <t>448</t>
  </si>
  <si>
    <t>Силова розетка стаціонарна 3Р+Z, 400В, 32А, IP44</t>
  </si>
  <si>
    <t>075</t>
  </si>
  <si>
    <t>Силова розетка стаціонарна, що вбудовується 2Р+Z, 250В, 16А, IP44</t>
  </si>
  <si>
    <t>085</t>
  </si>
  <si>
    <t>Силова розетка стаціонарна, що вбудовується 2Р+Z, 250В, 16А, IP44 S</t>
  </si>
  <si>
    <t>070</t>
  </si>
  <si>
    <t>Силова розетка, що вбудовується 2Р+Z, 250В, 16А, IP44</t>
  </si>
  <si>
    <t>096</t>
  </si>
  <si>
    <t>Силова розетка, що вбудовується 2Р+Z, 250В, 16А, IP68 Shuko</t>
  </si>
  <si>
    <t>053</t>
  </si>
  <si>
    <t>Силова розетка, що вбудовується 3Р+N+Z, 400В, 16А, IP44</t>
  </si>
  <si>
    <t>054</t>
  </si>
  <si>
    <t>Силова розетка, що вбудовується 3Р+N+Z, 400В, 32А, IP44</t>
  </si>
  <si>
    <t>055</t>
  </si>
  <si>
    <t>Силова розетка, що вбудовується 3Р+N+Z, 400В, 63А, IP67</t>
  </si>
  <si>
    <t>051</t>
  </si>
  <si>
    <t>Силова розетка, що вбудовується 3Р+Z, 400В, 16А, IP44</t>
  </si>
  <si>
    <t>052</t>
  </si>
  <si>
    <t>Силова розетка, що вбудовується 3Р+Z, 400В, 32А, IP44</t>
  </si>
  <si>
    <t>7.Розетки силові пластикові серії TAREL безгвинтові</t>
  </si>
  <si>
    <t>135S</t>
  </si>
  <si>
    <t>Силова розетка переносна 3Р+N+Z, 400В, 16А, IP44 безгвинтова</t>
  </si>
  <si>
    <t>137S</t>
  </si>
  <si>
    <t>Силова розетка переносна 3Р+N+Z, 400В, 32А, IP44 безгвинтова</t>
  </si>
  <si>
    <t>134S</t>
  </si>
  <si>
    <t>Силова розетка переносна 3Р+Z, 400В, 16А, IP44 безгвинтова</t>
  </si>
  <si>
    <t>136S</t>
  </si>
  <si>
    <t>Силова розетка переносна 3Р+Z, 400В, 32А, IP44 безгвинтова</t>
  </si>
  <si>
    <t>125S</t>
  </si>
  <si>
    <t>Силова розетка стаціонарна 3Р+N+Z, 400В, 16А, IP44 безгвинтова</t>
  </si>
  <si>
    <t>127S</t>
  </si>
  <si>
    <t>Силова розетка стаціонарна 3Р+N+Z, 400В, 32А, IP44 безгвинтова</t>
  </si>
  <si>
    <t>124S</t>
  </si>
  <si>
    <t>Силова розетка стаціонарна 3Р+Z, 400В, 16А, IP44 безгвинтова</t>
  </si>
  <si>
    <t>126S</t>
  </si>
  <si>
    <t>Силова розетка стаціонарна 3Р+Z, 400В, 32А, IP44 безгвинтова</t>
  </si>
  <si>
    <t>145S</t>
  </si>
  <si>
    <t>Силова розетка, що вбудовується 3Р+N+Z, 400В, 16А, IP44 безгвинтова</t>
  </si>
  <si>
    <t>147S</t>
  </si>
  <si>
    <t>Силова розетка, що вбудовується 3Р+N+Z, 400В, 32А, IP44 безгвинтова</t>
  </si>
  <si>
    <t>144S</t>
  </si>
  <si>
    <t>Силова розетка, що вбудовується 3Р+Z, 400В, 16А, IP44 безгвинтова</t>
  </si>
  <si>
    <t>146S</t>
  </si>
  <si>
    <t>Силова розетка, що вбудовується 3Р+Z, 400В, 32А, IP44 безгвинтова</t>
  </si>
  <si>
    <t>8.Вилки силові металеві  серії TAREL</t>
  </si>
  <si>
    <t>3126-326</t>
  </si>
  <si>
    <t>Силова вилка переносна металева 3Р+Z, 400В, 16А, IP44</t>
  </si>
  <si>
    <t>3143-326</t>
  </si>
  <si>
    <t>Силова вилка переносна металева 3Р+Z, 400В, 32А, IP44</t>
  </si>
  <si>
    <t>9.Розетки силові металеві серії TAREL</t>
  </si>
  <si>
    <t>2127-126</t>
  </si>
  <si>
    <t>Силова розетка металева, стаціонарна 3Р+Z, 400В, 16А, IP44</t>
  </si>
  <si>
    <t>2143-126</t>
  </si>
  <si>
    <t>Силова розетка металева, стаціонарна 3Р+Z, 400В, 32А, IP44</t>
  </si>
  <si>
    <t>10.З'єднувачі силові однополюсні серії TAREL</t>
  </si>
  <si>
    <t>2499-300</t>
  </si>
  <si>
    <t>Гніздо силове однополюсне переносне, 50-95 кв.мм, max I=315A</t>
  </si>
  <si>
    <t>2499-200</t>
  </si>
  <si>
    <t>Гніздо силове однополюсне стаціонарне, 50-95 кв.мм, max I=315A</t>
  </si>
  <si>
    <t>3499-300</t>
  </si>
  <si>
    <t>Штекер силовий однополюсний переносний, 50-95 кв.мм, max I=315A</t>
  </si>
  <si>
    <t>3499-200</t>
  </si>
  <si>
    <t>Штекер силовий однополюсний стаціонарний, 50-95 кв.мм, max I=315A</t>
  </si>
  <si>
    <t>2.Каучукові роз'єми RUBBER</t>
  </si>
  <si>
    <t>s9100023</t>
  </si>
  <si>
    <t>Вилка пряма каучукова e.plug.rubber.028.16, з з/к, 16А</t>
  </si>
  <si>
    <t>s9100030</t>
  </si>
  <si>
    <t>Вилка кутова каучукова e.plug.rubber.angle.027.16, з з/к, 16А</t>
  </si>
  <si>
    <t>s9100028</t>
  </si>
  <si>
    <t>Силова вилка переносна каучукова e.plug.rubber.030.25, 4п. 25А</t>
  </si>
  <si>
    <t>s9100035</t>
  </si>
  <si>
    <t>Силова вилка переносна каучукова e.plug.rubber.060.16, 4п., 16А</t>
  </si>
  <si>
    <t>s9100032</t>
  </si>
  <si>
    <t>Силова вилка переносна каучукова e.plug.rubber.070.32, 4п., 32А</t>
  </si>
  <si>
    <t>s9100025</t>
  </si>
  <si>
    <t>Розетка одинарна з захисною кришкою каучукова e.socket.rubber.029.1.16, з з/к, 16А</t>
  </si>
  <si>
    <t>s9100024</t>
  </si>
  <si>
    <t>Розетка переносна з захисною кришкою каучукова e.socket.rubber.029.16, з з/к, 16А</t>
  </si>
  <si>
    <t>s9100026</t>
  </si>
  <si>
    <t>Розетка подвійна з захисною кришкою каучукова e.socket.rubber.029.2.16, з з/к, 16А</t>
  </si>
  <si>
    <t>s9100038</t>
  </si>
  <si>
    <t>Розетка подвійна з захисною кришкою каучукова e.socket.rubber.029.2.16.s, з з/к, 16А, з вимикачем</t>
  </si>
  <si>
    <t>s9100027</t>
  </si>
  <si>
    <t>Розетка потрійна з захисною кришкою каучукова e.socket.rubber.029.3.16, з з/к, 16А</t>
  </si>
  <si>
    <t>s9100039</t>
  </si>
  <si>
    <t>Розетка чотирьохмісна з захисною кришкою каучукова e.socket.rubber.029.4.16, з з/к, 16А</t>
  </si>
  <si>
    <t>s9100029</t>
  </si>
  <si>
    <t>Силова розетка переносна з захисною кришкою каучукова e.socket.rubber.031.25, 4п., 25А</t>
  </si>
  <si>
    <t>s9100036</t>
  </si>
  <si>
    <t>Силова розетка переносна з захисною кришкою каучукова e.socket.rubber.061.16, 4п., 16А</t>
  </si>
  <si>
    <t>s9100037</t>
  </si>
  <si>
    <t>Силова розетка стаціонарна з захисною кришкою каучукова e.socket.rubber.062.16, 4п., 16А</t>
  </si>
  <si>
    <t>s9100033</t>
  </si>
  <si>
    <t>Силова розетка переносна з захисною кришкою каучукова e.socket.rubber.071.32, 4п., 32А</t>
  </si>
  <si>
    <t>s9100034</t>
  </si>
  <si>
    <t>Силова розетка стаціонарна з захисною кришкою каучукова e.socket.rubber.072.32, 4п., 32А</t>
  </si>
  <si>
    <t>s9100031</t>
  </si>
  <si>
    <t>Силова розетка стаціонарна з захисною кришкою каучукова e.socket.rubber.315.25, 4п., 25А</t>
  </si>
  <si>
    <t>3.Монтажні набори серії TAREL</t>
  </si>
  <si>
    <t>6634-000</t>
  </si>
  <si>
    <t>Монтажний набір - 1х16A (230/400V) 2,5кв.мм,1х32А (230/400V) 4 кв.мм, 3х16А 230V 1,5 кв.мм, 13 мод.</t>
  </si>
  <si>
    <t>6635-000</t>
  </si>
  <si>
    <t>Монтажний набір - 2 х16A (230/400V) 2,5кв.мм, 3х16А 230V 1,5 кв.мм, 13 мод.</t>
  </si>
  <si>
    <t>6636-000</t>
  </si>
  <si>
    <t>Монтажний набір - 2 х32A (230/400V) 4 кв.мм, 3х16А 230V 1,5 кв.мм, 13 мод.</t>
  </si>
  <si>
    <t>332</t>
  </si>
  <si>
    <t>Монтажний набір - вікно 4 мод., вим. 0-1, 16A 5p, 3x16A 3p, 250V</t>
  </si>
  <si>
    <t>331</t>
  </si>
  <si>
    <t>Монтажний набір - вікно 4 мод, вим. 0-1, 32А 3P+N+Z 400V, 16A 3P+N+Z 400V, 3x16A 2P+Z 250V</t>
  </si>
  <si>
    <t>330</t>
  </si>
  <si>
    <t>Монтажний набір - вікно 4-мод. 2x32A 3P+N+Z .3x16A 2P+Z</t>
  </si>
  <si>
    <t>368</t>
  </si>
  <si>
    <t>Монтажний набір - вікно 5 мод, 4х16А 2Р+Z 250V</t>
  </si>
  <si>
    <t>361</t>
  </si>
  <si>
    <t>Монтажний набір - вікно 5мод. 16А 3Р+N+Z 400V 2x16A 2P+Z 250V</t>
  </si>
  <si>
    <t>360</t>
  </si>
  <si>
    <t>Монтажний набір - вікно 5мод. 32А 3Р+N+Z 400V 2x16A 2P+Z 250V</t>
  </si>
  <si>
    <t>364</t>
  </si>
  <si>
    <t>Монтажний набір - вікно 5мод. 32А 3Р+Z 400V 2x16A 2P+Z 250V</t>
  </si>
  <si>
    <t>365</t>
  </si>
  <si>
    <t>Монтажний набір - вікно 5мод.16А 3Р+Z 400V 2x16A 2P+Z 250V</t>
  </si>
  <si>
    <t>322</t>
  </si>
  <si>
    <t>Монтажний набір - вікно 8 мод, 2x16A 3P+N+Z 400V, 3x16A 2P+Z 250V</t>
  </si>
  <si>
    <t>321</t>
  </si>
  <si>
    <t>Монтажний набір - вікно 8 мод, 32А 3P+N+Z 400V, 16A 3P+N+Z 400V, 3x16A 2P+Z 250V</t>
  </si>
  <si>
    <t>320</t>
  </si>
  <si>
    <t>Монтажний набір - вікно 8-мод. 2x32A 3P+N+Z .3x16A 2P+Z</t>
  </si>
  <si>
    <t>6263-130</t>
  </si>
  <si>
    <t>Монтажний набір 16А 3Р+N+Z 220/400V,16A 2P+Z 250V, клемна колодка 5х4кв.мм</t>
  </si>
  <si>
    <t>175</t>
  </si>
  <si>
    <t>Монтажний набір 16А 3Р+N+Z 400V 16 2P+Z 250V</t>
  </si>
  <si>
    <t>391</t>
  </si>
  <si>
    <t>Монтажний набір 16А 3Р+N+Z 400V 4x16 2P+Z 250V</t>
  </si>
  <si>
    <t>395</t>
  </si>
  <si>
    <t>Монтажний набір 16А 3Р+Z 400V 4x16 2P+Z 250V</t>
  </si>
  <si>
    <t>6163-130</t>
  </si>
  <si>
    <t>Монтажний набір 16А 3Р+Z 400V,16A 2P+Z 250V, клемна колодка 5х4кв.мм</t>
  </si>
  <si>
    <t>340</t>
  </si>
  <si>
    <t>Монтажний набір 2x32A 3P+N+Z .6x16A 2P+Z</t>
  </si>
  <si>
    <t>342</t>
  </si>
  <si>
    <t>Монтажний набір 2x16A 3P+N+Z 400V, 6x16A 2P+Z 250V</t>
  </si>
  <si>
    <t>341</t>
  </si>
  <si>
    <t>Монтажний набір 32A 3P+N+Z 400V, 16A 3P+N+Z 400V, 6x16A 2P+Z 250V</t>
  </si>
  <si>
    <t>6265-130</t>
  </si>
  <si>
    <t>Монтажний набір 32А 3Р+N+Z 220/400V,16A 2P+Z 250V, клемна колодка 5х6кв.мм</t>
  </si>
  <si>
    <t>390</t>
  </si>
  <si>
    <t>Монтажний набір 32А 3Р+N+Z 400V 4x16 2P+Z 250V</t>
  </si>
  <si>
    <t>394</t>
  </si>
  <si>
    <t>Монтажний набір 32А 3Р+Z 400V 4x16 2P+Z 250V</t>
  </si>
  <si>
    <t>6165-130</t>
  </si>
  <si>
    <t>Монтажний набір 32А 3Р+Z 400V,16A 2P+Z 250V, клемна колодка 5х6кв.мм</t>
  </si>
  <si>
    <t>370</t>
  </si>
  <si>
    <t>Монтажний набір вим. 32А 3Р+N+Z 400V 2x16 2P+Z 250V</t>
  </si>
  <si>
    <t>374</t>
  </si>
  <si>
    <t>Монтажний набір вим. 32А 3Р+Z 400V 2x16 2P+Z 250V</t>
  </si>
  <si>
    <t>371</t>
  </si>
  <si>
    <t>Монтажний набір вим.16А 3Р+N+Z 400V 2x16 2P+Z 250V</t>
  </si>
  <si>
    <t>375</t>
  </si>
  <si>
    <t>Монтажний набір вим.16А 3Р+Z 400V 2x16 2P+Z 250V</t>
  </si>
  <si>
    <t>185</t>
  </si>
  <si>
    <t>Монтажний набір вимикач 0-1 16A, 3P+N+Z 400V</t>
  </si>
  <si>
    <t>195</t>
  </si>
  <si>
    <t>Монтажний набір вимикач L-O-P 16A, 3P+N+Z 400V</t>
  </si>
  <si>
    <t>381</t>
  </si>
  <si>
    <t>Монтажний набір, вим L-0-P 16А 3Р+N+Z 400V 2x16 2P+Z 250V</t>
  </si>
  <si>
    <t>385</t>
  </si>
  <si>
    <t>Монтажний набір, вим. L-0-P 16А 3Р+Z 400V 2x16 2P+Z 250V</t>
  </si>
  <si>
    <t>380</t>
  </si>
  <si>
    <t>Монтажний набір, вим. L-0-P 32А 3Р+N+Z 400V 2x16 2P+Z 250V</t>
  </si>
  <si>
    <t>384</t>
  </si>
  <si>
    <t>Монтажний набір, вим L-0-P 32А 3Р+Z 400V 2x16 2P+Z 250V</t>
  </si>
  <si>
    <t>065/1</t>
  </si>
  <si>
    <t>Силова розетка з вимикачем стаціонарна 3Р+Z, 400В, 32А, IP44</t>
  </si>
  <si>
    <t>401-016</t>
  </si>
  <si>
    <t>Монтажний набір- розгалужувач 16A 3P+N+Z 400V/ 3x16A 3P+N+Z 400V</t>
  </si>
  <si>
    <t>402-016</t>
  </si>
  <si>
    <t>Монтажний набір- розгалужувач 16A 3P+N+Z 400V/ 3x16A 3P+N+Z 400V, 2x16A 2P+Z 250V</t>
  </si>
  <si>
    <t>409-016</t>
  </si>
  <si>
    <t>Монтажний набір- розгалужувач 32A 3P+N+Z 400V/ 1x32A 3P+N+Z 400V, 1x16A 3P+N+Z 400V, 1x16A 2P+Z 250V</t>
  </si>
  <si>
    <t>410-016</t>
  </si>
  <si>
    <t>Монтажний набір- розгалужувач 32A 3P+N+Z 400V/ 1x32A 3P+N+Z 400V, 1x16A 3P+N+Z 400V, 3x16A 2P+Z 250V</t>
  </si>
  <si>
    <t>403-016</t>
  </si>
  <si>
    <t>Монтажний набір- розгалужувач 32A 3P+N+Z 400V/ 1x32A 3P+N+Z 400V, 2x16A 2P+Z 250V</t>
  </si>
  <si>
    <t>404-016</t>
  </si>
  <si>
    <t>Монтажний набір- розгалужувач 32A 3P+N+Z 400V/ 1x32A 3P+N+Z 400V, 2x16A 3P+N+Z 400V, 2x16A 2P+Z 250V</t>
  </si>
  <si>
    <t>405-016</t>
  </si>
  <si>
    <t>Монтажний набір- розгалужувач 32A 3P+N+Z 400V/ 2x32A 3P+N+Z 400V, 1x16A 3P+N+Z 400V</t>
  </si>
  <si>
    <t>406-016</t>
  </si>
  <si>
    <t>Монтажний набір- розгалужувач 32A 3P+N+Z 400V/ 2x32A 3P+N+Z 400V, 1x16A 3P+N+Z 400V, 2x16A 2P+Z 250V</t>
  </si>
  <si>
    <t>407-032</t>
  </si>
  <si>
    <t>Монтажний набір- розгалужувач 32A 3P+N+Z 400V/ 3x32A 3P+N+Z 400V</t>
  </si>
  <si>
    <t>408-032</t>
  </si>
  <si>
    <t>Монтажний набір- розгалужувач 32A 3P+N+Z 400V/ 3x32A 3P+N+Z 400V, 2x10A 2P+Z 250V</t>
  </si>
  <si>
    <t>4.Вилки побутові PLUG</t>
  </si>
  <si>
    <t>s9100001</t>
  </si>
  <si>
    <t>Вилка побутова e.plug.001.10,  без з/к,10А біла</t>
  </si>
  <si>
    <t>s9100045</t>
  </si>
  <si>
    <t>Вилка побутова e.plug.002.10, без з/к,10А, чорна</t>
  </si>
  <si>
    <t>s9100046</t>
  </si>
  <si>
    <t>Вилка побутова e.plug.angle.005.16,з з/к, 16А, кутова, біла, з ручкою</t>
  </si>
  <si>
    <t>s9100047</t>
  </si>
  <si>
    <t>Вилка побутова e.plug.angle.006.16,з з/к, 16А, кутова, чорна, з ручкою</t>
  </si>
  <si>
    <t>s9100004</t>
  </si>
  <si>
    <t>Вилка побутова e.plug.angle.007.16,з з/к, 16А кутова біла</t>
  </si>
  <si>
    <t>s9100005</t>
  </si>
  <si>
    <t>Вилка побутова e.plug.angle.008.16,з з/к, 16А кутова чорна</t>
  </si>
  <si>
    <t>s9100048</t>
  </si>
  <si>
    <t>Вилка побутова e.plug.angle.009.16,з з/к, 16А, кутова, біла, з вимикачем</t>
  </si>
  <si>
    <t>s9100002</t>
  </si>
  <si>
    <t>Вилка побутова e.plug.straight.003.16,з з/к, 16А пряма біла</t>
  </si>
  <si>
    <t>s9100003</t>
  </si>
  <si>
    <t>Вилка побутова e.plug.straight.004.16,з з/к, 16А пряма чорна</t>
  </si>
  <si>
    <t>5.Розетки побутові переносні SOCKET</t>
  </si>
  <si>
    <t>p017002</t>
  </si>
  <si>
    <t>Розетка переносна e.socket.001.10.black, без з/к,10А чорна</t>
  </si>
  <si>
    <t>p017001</t>
  </si>
  <si>
    <t>Розетка переносна e.socket.001.10.white, без з/к,10А біла</t>
  </si>
  <si>
    <t>p017004</t>
  </si>
  <si>
    <t>Розетка переносна e.socket.003.16.black, з з/к, 16А чорна</t>
  </si>
  <si>
    <t>p017003</t>
  </si>
  <si>
    <t>Розетка переносна e.socket.003.16.white, з з/к, 16А біла</t>
  </si>
  <si>
    <t>6.Трійники побутові</t>
  </si>
  <si>
    <t>s9100052</t>
  </si>
  <si>
    <t>Трійник побутовий e.socket.002.10.2, 2 гнізда, 2P, 10А, без заземлення</t>
  </si>
  <si>
    <t>s9100054</t>
  </si>
  <si>
    <t>Трійник побутовий e.socket.002.16.3, 2 гнізда, 2P+PE, 16А, з заземленням</t>
  </si>
  <si>
    <t>s9100053</t>
  </si>
  <si>
    <t>Трійник побутовий e.socket.003.10.2, 3 гнізда, 2P, 10А, без заземлення</t>
  </si>
  <si>
    <t>s9100055</t>
  </si>
  <si>
    <t>Трійник побутовий e.socket.003.16.3, 3 гнізда, 2P+PE, 16А, з заземленням</t>
  </si>
  <si>
    <t>7.Подовжувачі</t>
  </si>
  <si>
    <t>1.Подовжувачі побутові ES</t>
  </si>
  <si>
    <t>s042010</t>
  </si>
  <si>
    <t>Подовжувач e.es.4.3.z.b 4 гнізда, 3м, з з/к, baby protect</t>
  </si>
  <si>
    <t>s042056</t>
  </si>
  <si>
    <t>Подовжувач e.es.3.3 3 гнізда, 3м, без з/к</t>
  </si>
  <si>
    <t>s042064</t>
  </si>
  <si>
    <t>Подовжувач e.es.5.3 5 гнізд, 3м, без з/к</t>
  </si>
  <si>
    <t>s042065</t>
  </si>
  <si>
    <t>Подовжувач e.es.5.5 5 гнізд, 5м, без з/к</t>
  </si>
  <si>
    <t>s042058</t>
  </si>
  <si>
    <t>Подовжувач e.es.3.3.b 3 гнізда, 3м, без з/к, baby protect</t>
  </si>
  <si>
    <t>s042059</t>
  </si>
  <si>
    <t>Подовжувач e.es.3.5.b 3 гнізда , 5м, без з/к, baby protect</t>
  </si>
  <si>
    <t>s042062</t>
  </si>
  <si>
    <t>Подовжувач e.es.4.3.b 4 гнізда, 3м, без з/к, baby protect</t>
  </si>
  <si>
    <t>s042063</t>
  </si>
  <si>
    <t>Подовжувач e.es.4.5.b 4 гнізда, 5м, без з/к, baby protect</t>
  </si>
  <si>
    <t>s042066</t>
  </si>
  <si>
    <t>Подовжувач e.es.5.3.b 5 гнізд, 3м, без з/к, baby protect</t>
  </si>
  <si>
    <t>s042124</t>
  </si>
  <si>
    <t>Подовжувач e.es.3.1.5 3 гнізда, 1.5м, без з/к</t>
  </si>
  <si>
    <t>s042120</t>
  </si>
  <si>
    <t>Подовжувач e.es.3.1.5.b 3 гнізда, 1.5м, без з/к, baby protect</t>
  </si>
  <si>
    <t>s042122</t>
  </si>
  <si>
    <t>Подовжувач e.es.3.1.5.z.b 3 гнізда, 1.5м, з з/к, baby protect</t>
  </si>
  <si>
    <t>s042127</t>
  </si>
  <si>
    <t>Подовжувач e.es.3.3.z 3 гнізда, 3м, з з/к</t>
  </si>
  <si>
    <t>s042121</t>
  </si>
  <si>
    <t>Подовжувач e.es.3.7.b 3 гнізда, 7м, без з/к, baby protect</t>
  </si>
  <si>
    <t>s042123</t>
  </si>
  <si>
    <t>Подовжувач e.es.3.7.z.b 3 гнізда, 7м, з з/к, baby protect</t>
  </si>
  <si>
    <t>s042125</t>
  </si>
  <si>
    <t>Подовжувач e.es.5.1.5 5 гнізд, 1.5м, без з/к</t>
  </si>
  <si>
    <t>s042126</t>
  </si>
  <si>
    <t>Подовжувач e.es.5.1.5.z 5 гнізд, 1.5м, з з/к</t>
  </si>
  <si>
    <t>s042067</t>
  </si>
  <si>
    <t>Подовжувач e.es.5.5.b 5 гнізд, 5м, без з/к, baby protect</t>
  </si>
  <si>
    <t>s042004</t>
  </si>
  <si>
    <t>Подовжувач e.es.3.3.z.b 3 гнізда, 3м, з з/к, baby protect</t>
  </si>
  <si>
    <t>s042005</t>
  </si>
  <si>
    <t>Подовжувач e.es.3.5.z.b 3 гнізда, 5м, з з/к, baby protect</t>
  </si>
  <si>
    <t>s042011</t>
  </si>
  <si>
    <t>Подовжувач e.es.4.5.z.b 4 гнізда, 5м, з з/к, baby protect</t>
  </si>
  <si>
    <t>s042016</t>
  </si>
  <si>
    <t>Подовжувач e.es.5.3.z.b 5 гнізд, 3м, з з/к, baby protect</t>
  </si>
  <si>
    <t>s042017</t>
  </si>
  <si>
    <t>Подовжувач e.es.5.5.z.b 5 гнізд, 5м, з з/к, baby protect</t>
  </si>
  <si>
    <t>s042007</t>
  </si>
  <si>
    <t>Подовжувач e.es.3.3.z.s.b 3 гнізда, 3м, з з/к, з вимикачем, baby protect</t>
  </si>
  <si>
    <t>s042008</t>
  </si>
  <si>
    <t>Подовжувач e.es.3.5.z.s.b 3 гнізда, 5м, з з/к, з вимикачем, baby protect</t>
  </si>
  <si>
    <t>s042013</t>
  </si>
  <si>
    <t>Подовжувач e.es.4.3.z.s.b 4 гнізда, 3м, з з/к, з вимикачем, baby protect</t>
  </si>
  <si>
    <t>s042014</t>
  </si>
  <si>
    <t>Подовжувач e.es.4.5.z.s.b 4 гнізда, 5м, з з/к, з вимикачем, baby protect</t>
  </si>
  <si>
    <t>s042019</t>
  </si>
  <si>
    <t>Подовжувач e.es.5.3.z.s.b 5 гнізд, 3м, з з/к, з вимикачем, baby protect</t>
  </si>
  <si>
    <t>s042020</t>
  </si>
  <si>
    <t>Подовжувач e.es.5.5.z.s.b 5 гнізд, 5м, з з/к, з вимикачем, baby protect</t>
  </si>
  <si>
    <t>s042070</t>
  </si>
  <si>
    <t>Подовжувач e.es.ring4.4.3.z.h рулеточного типу, в круглому корпусі 4, 4 гнізда, 3м, з з/к, з захистом від перевантаження, провід 3х1,5кв.мм</t>
  </si>
  <si>
    <t>s042072</t>
  </si>
  <si>
    <t>Подовжувач e.es.ring4.4.3.z.h.b рулеточного типу, в круглому корпусі 4, 4 гнізда, 3м, з з/к, з захистом від перевантажень, baby protect, провід 3х1,5кв.мм</t>
  </si>
  <si>
    <t>s042096</t>
  </si>
  <si>
    <t>Подовжувач e.es.roll.4.25.z.b. барабанного типу, на котушці , з з/к,  25м, baby protect, провід 3х1,5кв.мм</t>
  </si>
  <si>
    <t>s042097</t>
  </si>
  <si>
    <t>Подовжувач e.es.roll.4.50.z.b. барабанного типу, на котушці , з з/к,  50м, baby protect, провід 3х1,5кв.мм</t>
  </si>
  <si>
    <t>3.Подовжувачі мережеві USB</t>
  </si>
  <si>
    <t>s042301</t>
  </si>
  <si>
    <t>Подовжувач мережевий e.es.5.1.5.2.usb 5 гнізд, 1.5м, з USB-зарядкою 2.1 A</t>
  </si>
  <si>
    <t>4.Колодки подовжувачів T.ES</t>
  </si>
  <si>
    <t>s042099</t>
  </si>
  <si>
    <t>Колодка e.t.es.2  2 гнізда, без з/к</t>
  </si>
  <si>
    <t>s042100</t>
  </si>
  <si>
    <t>Колодка e.t.es.2.z  2 гнізда, з з/к</t>
  </si>
  <si>
    <t>s042101</t>
  </si>
  <si>
    <t>Колодка e.t.es.3  3 гнізда, без з/к</t>
  </si>
  <si>
    <t>s042102</t>
  </si>
  <si>
    <t>Колодка e.t.es.3.z  3 гнізда, з з/к</t>
  </si>
  <si>
    <t>s042105</t>
  </si>
  <si>
    <t>Колодка e.t.es.3.z.s  3 гнізда, з з/к, з вимикачем</t>
  </si>
  <si>
    <t>s042103</t>
  </si>
  <si>
    <t>Колодка e.t.es.4.z  4 гнізда, з з/к</t>
  </si>
  <si>
    <t>s042106</t>
  </si>
  <si>
    <t>Колодка e.t.es.4.z.s  4 гнізда, з з/к, з вимикачем</t>
  </si>
  <si>
    <t>s042104</t>
  </si>
  <si>
    <t>Колодка e.t.es.6.z  6 гнізд, з з/к</t>
  </si>
  <si>
    <t>5.Аксесуари</t>
  </si>
  <si>
    <t>s042200</t>
  </si>
  <si>
    <t>Водонепроникний бокс e.box.fsh.01, IP44</t>
  </si>
  <si>
    <t>s042201</t>
  </si>
  <si>
    <t>Пластикова рамка e.f.es.rxj.01, для намотування кабелю</t>
  </si>
  <si>
    <t>s042202</t>
  </si>
  <si>
    <t>Пластиковий тримач e.f.es.rxj.02, для кабелю</t>
  </si>
  <si>
    <t>s042203</t>
  </si>
  <si>
    <t>Пластикова котушка e.f.es.rxj.06, для намотування кабелю</t>
  </si>
  <si>
    <t>8.Електроустановочні вироби</t>
  </si>
  <si>
    <t>1.Серія E.AQUA зовнішня IP44/54</t>
  </si>
  <si>
    <t>s035051</t>
  </si>
  <si>
    <t>Вимикач одноклавішний e.aqua.1111.gr для зовнішнього монтажу, IP44</t>
  </si>
  <si>
    <t>s035052</t>
  </si>
  <si>
    <t>Вимикач двохклавішний e.aqua.1112.gr для зовнішнього монтажу, IP44</t>
  </si>
  <si>
    <t>s035053</t>
  </si>
  <si>
    <t>Перемикач одноклавішний e.aqua.1121.gr для зовнішнього монтажу, IP44</t>
  </si>
  <si>
    <t>s035054</t>
  </si>
  <si>
    <t>Розетка одинарна e.aqua.1230.gr з з/к, для зовнішнього монтажу, IP20, без кришки</t>
  </si>
  <si>
    <t>s035056</t>
  </si>
  <si>
    <t>Розетка одинарна e.aqua.1231.gr з з/к, для зовнішнього монтажу, IP54, кришка біла</t>
  </si>
  <si>
    <t>s035057</t>
  </si>
  <si>
    <t>Розетка подвійна e.aqua.1232.gr з з/к, для зовнішнього монтажу, IP54, кришка біла</t>
  </si>
  <si>
    <t>s035055</t>
  </si>
  <si>
    <t>Розетка подвійна e.aqua.1233.gr з з/к, для зовнішнього монтажу, IP20, без кришки</t>
  </si>
  <si>
    <t>2.Серія STANDARD NEW</t>
  </si>
  <si>
    <t>s035026</t>
  </si>
  <si>
    <t>Розетка e.install.stand.810 з з/к з рамкою</t>
  </si>
  <si>
    <t>s035037</t>
  </si>
  <si>
    <t>Розетка e.install.stand.810D без з/к подвійна</t>
  </si>
  <si>
    <t>s035036</t>
  </si>
  <si>
    <t>Розетка e.install.stand.810DB c з/к подвійна з рамкою</t>
  </si>
  <si>
    <t>s035028</t>
  </si>
  <si>
    <t>Розетка e.install.stand.810С з з/к з кришкою з рамкою</t>
  </si>
  <si>
    <t>s035021</t>
  </si>
  <si>
    <t>Вимикач e.install.stand.811/2  сходовий з рамкою</t>
  </si>
  <si>
    <t>s035022</t>
  </si>
  <si>
    <t>Вимикач e.install.stand.811 одноклавішний з рамкою</t>
  </si>
  <si>
    <t>s035024</t>
  </si>
  <si>
    <t>Вимикач e.install.stand.811D дзвоника з рамкою</t>
  </si>
  <si>
    <t>s035019</t>
  </si>
  <si>
    <t>Вимикач e.install.stand.811L одноклавішний з підсвіткою з рамкою</t>
  </si>
  <si>
    <t>s035050</t>
  </si>
  <si>
    <t>Вимикач e.install.stand.812/2  сходовий двоклавішний з рамкою</t>
  </si>
  <si>
    <t>s035023</t>
  </si>
  <si>
    <t>Вимикач e.install.stand.812 двоклавішний з рамкою</t>
  </si>
  <si>
    <t>s035020</t>
  </si>
  <si>
    <t>Вимикач e.install.stand.812L двоклавішний з підсвіткою з рамкою</t>
  </si>
  <si>
    <t>s035027</t>
  </si>
  <si>
    <t>Розетка e.install.stand.813 без з/к з рамкою</t>
  </si>
  <si>
    <t>s035030</t>
  </si>
  <si>
    <t>Розетка e.install.stand.814P1 телефонна одинарна з рамкою</t>
  </si>
  <si>
    <t>s035029</t>
  </si>
  <si>
    <t>Розетка e.install.stand.815Т TV з рамкою</t>
  </si>
  <si>
    <t>s035034</t>
  </si>
  <si>
    <t>Регулятор e.install.stand.816-D600 600Вт з рамкою</t>
  </si>
  <si>
    <t>s035032</t>
  </si>
  <si>
    <t>Розетка e.install.stand.819С1 комп'ютерна одинарна з рамкою</t>
  </si>
  <si>
    <t>s035033</t>
  </si>
  <si>
    <t>Розетка e.install.stand.819С2 комп'ютерна подвійна з рамкою</t>
  </si>
  <si>
    <t>ins0050002</t>
  </si>
  <si>
    <t>Рамка e.install.stand.frame.2 2-містна</t>
  </si>
  <si>
    <t>ins0050003</t>
  </si>
  <si>
    <t>Рамка e.install.stand.frame.3 3-містна</t>
  </si>
  <si>
    <t>ins0050004</t>
  </si>
  <si>
    <t>Рамка e.install.stand.frame.4 4-містна</t>
  </si>
  <si>
    <t>3.Серія STANDART CER</t>
  </si>
  <si>
    <t>s035004</t>
  </si>
  <si>
    <t>Вимикач e.install.stand.811 одноклавішний</t>
  </si>
  <si>
    <t>s035003</t>
  </si>
  <si>
    <t>Вимикач e.install.stand.811/2  сходовий</t>
  </si>
  <si>
    <t>s035006</t>
  </si>
  <si>
    <t>Вимикач e.install.stand.811D дзвоника</t>
  </si>
  <si>
    <t>s035001</t>
  </si>
  <si>
    <t>Вимикач e.install.stand.811L одноклавішний з підсвіткою</t>
  </si>
  <si>
    <t>s035005</t>
  </si>
  <si>
    <t>Вимикач e.install.stand.812 двоклавішний</t>
  </si>
  <si>
    <t>s035041c</t>
  </si>
  <si>
    <t>Вимикач e.install.stand.812L+f.cer двохклавішний з підсвіткою з рамкою</t>
  </si>
  <si>
    <t>s035009</t>
  </si>
  <si>
    <t>Розетка e.install.stand.813 без з/к</t>
  </si>
  <si>
    <t>s035043c</t>
  </si>
  <si>
    <t>Розетка e.install.stand.814P1+f.cer телефонна одинарна з рамкою</t>
  </si>
  <si>
    <t>s035031</t>
  </si>
  <si>
    <t>Розетка e.install.stand.815TM TV+радіо з рамкою</t>
  </si>
  <si>
    <t>s035044c</t>
  </si>
  <si>
    <t>Розетка e.install.stand.815Т+f.cer TV з рамкою</t>
  </si>
  <si>
    <t>s035017</t>
  </si>
  <si>
    <t>Регулятор e.install.stand.816-D600 600Вт</t>
  </si>
  <si>
    <t>s035016</t>
  </si>
  <si>
    <t>Розетка e.install.stand.819С2 комп'ютерна подвійна</t>
  </si>
  <si>
    <t>ins0050001</t>
  </si>
  <si>
    <t>Рамка e.install.stand.frame.1 1-містна</t>
  </si>
  <si>
    <t>s035047c</t>
  </si>
  <si>
    <t>Рамка e.install.stand.frame.2.cer 2-містна</t>
  </si>
  <si>
    <t>s035048c</t>
  </si>
  <si>
    <t>Рамка e.install.stand.frame.3.cer 3-містна</t>
  </si>
  <si>
    <t>s035049c</t>
  </si>
  <si>
    <t>Рамка e.install.stand.frame.4.cer 4-містна</t>
  </si>
  <si>
    <t>4.Серія LUX</t>
  </si>
  <si>
    <t>Клавіші</t>
  </si>
  <si>
    <t>Одинарна</t>
  </si>
  <si>
    <t>ins0040094</t>
  </si>
  <si>
    <t>Клавіша e.lux.11011L.pn.aluminium одинарна "алюміній"</t>
  </si>
  <si>
    <t>ins0040012</t>
  </si>
  <si>
    <t>Клавіша e.lux.11011L.pn.anthracite одинарна "антрацит"</t>
  </si>
  <si>
    <t>ins0030012</t>
  </si>
  <si>
    <t>Клавіша e.lux.11011L.pn.anthracite.hang одинарна "антрацит"  (в промоупаковці)</t>
  </si>
  <si>
    <t>ins0020012</t>
  </si>
  <si>
    <t>Клавіша e.lux.11011L.pn.anthracite.shrink одинарна "антрацит"  (запаяна в п/е)</t>
  </si>
  <si>
    <t>ins0030010</t>
  </si>
  <si>
    <t>Клавіша e.lux.11011L.pn.ivory.hang одинарна "слонова кістка"  (в промоупаковці)</t>
  </si>
  <si>
    <t>ins0020010</t>
  </si>
  <si>
    <t>Клавіша e.lux.11011L.pn.ivory.shrink одинарна "слонова кістка"  (запаяна в п/е)</t>
  </si>
  <si>
    <t>ins0040011</t>
  </si>
  <si>
    <t>Клавіша e.lux.11011L.pn.nickel одинарна "нікель"</t>
  </si>
  <si>
    <t>ins0030011</t>
  </si>
  <si>
    <t>Клавіша e.lux.11011L.pn.nickel.hang одинарна "нікель"  (в промоупаковці)</t>
  </si>
  <si>
    <t>ins0020011</t>
  </si>
  <si>
    <t>Клавіша e.lux.11011L.pn.nickel.shrink одинарна "нікель"  (запаяна в п/е)</t>
  </si>
  <si>
    <t>ins0030009</t>
  </si>
  <si>
    <t>Клавіша e.lux.11011L.pn.white.hang одинарна біла  (в промоупаковці)</t>
  </si>
  <si>
    <t>ins0020009</t>
  </si>
  <si>
    <t>Клавіша e.lux.11011L.pn.white.shrink одинарна біла  (запаяна в п/е)</t>
  </si>
  <si>
    <t>Одинарна с підсвіткою</t>
  </si>
  <si>
    <t>ins0040095</t>
  </si>
  <si>
    <t>Клавіша e.lux.11171L.pn.aluminium одинарна "алюміній" з підсвіткою</t>
  </si>
  <si>
    <t>ins0040016</t>
  </si>
  <si>
    <t>Клавіша e.lux.11171L.pn.l.anthracite одинарна "антрацит" з підсвіткою</t>
  </si>
  <si>
    <t>ins0030016</t>
  </si>
  <si>
    <t>Клавіша e.lux.11171L.pn.l.anthracite.hang одинарна "антрацит" з підсвіткою (в промоупаковці)</t>
  </si>
  <si>
    <t>ins0020016</t>
  </si>
  <si>
    <t>Клавіша e.lux.11171L.pn.l.anthracite.shrink одинарна "антрацит" з підсвіткою (запаяна в п/е)</t>
  </si>
  <si>
    <t>ins0040014</t>
  </si>
  <si>
    <t>Клавіша e.lux.11171L.pn.l.ivory одинарна "слонова кістка"  з підсвіткою</t>
  </si>
  <si>
    <t>ins0030014</t>
  </si>
  <si>
    <t>Клавіша e.lux.11171L.pn.l.ivory.hang одинарна "слонова кістка"  з підсвіткою (в промоупаковці)</t>
  </si>
  <si>
    <t>ins0020014</t>
  </si>
  <si>
    <t>Клавіша e.lux.11171L.pn.l.ivory.shrink одинарна "слонова кістка"  з підсвіткою (запаяна в п/е)</t>
  </si>
  <si>
    <t>ins0040015</t>
  </si>
  <si>
    <t>Клавіша e.lux.11171L.pn.l.nickel одинарна "нікель"  з підсвіткою</t>
  </si>
  <si>
    <t>ins0030015</t>
  </si>
  <si>
    <t>Клавіша e.lux.11171L.pn.l.nickel.hang одинарна "нікель"  з підсвіткою (в промоупаковці)</t>
  </si>
  <si>
    <t>ins0020015</t>
  </si>
  <si>
    <t>Клавіша e.lux.11171L.pn.l.nickel.shrink одинарна "нікель"  з підсвіткою (запаяна в п/е)</t>
  </si>
  <si>
    <t>ins0040013</t>
  </si>
  <si>
    <t>Клавіша e.lux.11171L.pn.l.white одинарна біла з підсвіткою</t>
  </si>
  <si>
    <t>ins0030013</t>
  </si>
  <si>
    <t>Клавіша e.lux.11171L.pn.l.white.hang одинарна біла з підсвіткою (в промоупаковці)</t>
  </si>
  <si>
    <t>ins0020013</t>
  </si>
  <si>
    <t>Клавіша e.lux.11171L.pn.l.white.shrink одинарна біла з підсвіткою (запаяна в п/е)</t>
  </si>
  <si>
    <t>Подвійна</t>
  </si>
  <si>
    <t>ins0040096</t>
  </si>
  <si>
    <t>Клавіша e.lux.11021L.pn.aluminium подвійна "алюміній"</t>
  </si>
  <si>
    <t>ins0040020</t>
  </si>
  <si>
    <t>Клавіша e.lux.11021L.pn.anthracite подвійна "антрацит"</t>
  </si>
  <si>
    <t>ins0030020</t>
  </si>
  <si>
    <t>Клавіша e.lux.11021L.pn.anthracite.hang подвійна "антрацит"  (в промоупаковці)</t>
  </si>
  <si>
    <t>ins0020020</t>
  </si>
  <si>
    <t>Клавіша e.lux.11021L.pn.anthracite.shrink подвійна "антрацит"  (запаяна в п/е)</t>
  </si>
  <si>
    <t>ins0040018</t>
  </si>
  <si>
    <t>Клавіша e.lux.11021L.pn.ivory подвійна "слонова кістка"</t>
  </si>
  <si>
    <t>ins0030018</t>
  </si>
  <si>
    <t>Клавіша e.lux.11021L.pn.ivory.hang подвійна "слонова кістка"  (в промоупаковці)</t>
  </si>
  <si>
    <t>ins0020018</t>
  </si>
  <si>
    <t>Клавіша e.lux.11021L.pn.ivory.shrink подвійна "слонова кістка"  (запаяна в п/е)</t>
  </si>
  <si>
    <t>ins0040019</t>
  </si>
  <si>
    <t>Клавіша e.lux.11021L.pn.nickel подвійна "нікель"</t>
  </si>
  <si>
    <t>ins0030019</t>
  </si>
  <si>
    <t>Клавіша e.lux.11021L.pn.nickel.hang подвійна "нікель"  (в промоупаковці)</t>
  </si>
  <si>
    <t>ins0020019</t>
  </si>
  <si>
    <t>Клавіша e.lux.11021L.pn.nickel.shrink подвійна "нікель"  (запаяна в п/е)</t>
  </si>
  <si>
    <t>ins0040017</t>
  </si>
  <si>
    <t>Клавіша e.lux.11021L.pn.white подвійна біла</t>
  </si>
  <si>
    <t>ins0030017</t>
  </si>
  <si>
    <t>Клавіша e.lux.11021L.pn.white.hang подвійна біла  (в промоупаковці)</t>
  </si>
  <si>
    <t>ins0020017</t>
  </si>
  <si>
    <t>Клавіша e.lux.11021L.pn.white.shrink подвійна біла  (запаяна в п/е)</t>
  </si>
  <si>
    <t>Подвійна с підсвіткою</t>
  </si>
  <si>
    <t>ins0040097</t>
  </si>
  <si>
    <t>Клавіша e.lux.11881L.pn.aluminium подвійна "алюміній" з підсвіткою</t>
  </si>
  <si>
    <t>ins0040024</t>
  </si>
  <si>
    <t>Клавіша e.lux.11881L.pn.l.anthracite подвійна "антрацит" з підсвіткою</t>
  </si>
  <si>
    <t>ins0030024</t>
  </si>
  <si>
    <t>Клавіша e.lux.11881L.pn.l.anthracite.hang подвійна "антрацит" з підсвіткою (в промоупаковці)</t>
  </si>
  <si>
    <t>ins0020024</t>
  </si>
  <si>
    <t>Клавіша e.lux.11881L.pn.l.anthracite.shrink подвійна "антрацит" з підсвіткою (запаяна в п/е)</t>
  </si>
  <si>
    <t>ins0040022</t>
  </si>
  <si>
    <t>Клавіша e.lux.11881L.pn.l.ivory подвійна "слонова кістка" з підсвіткою</t>
  </si>
  <si>
    <t>ins0030022</t>
  </si>
  <si>
    <t>Клавіша e.lux.11881L.pn.l.ivory.hang подвійна "слонова кістка" з підсвіткою (в промоупаковці)</t>
  </si>
  <si>
    <t>ins0020022</t>
  </si>
  <si>
    <t>Клавіша e.lux.11881L.pn.l.ivory.shrink подвійна "слонова кістка" з підсвіткою (запаяна в п/е)</t>
  </si>
  <si>
    <t>ins0040023</t>
  </si>
  <si>
    <t>Клавіша e.lux.11881L.pn.l.nickel подвійна "нікель" з підсвіткою</t>
  </si>
  <si>
    <t>ins0030023</t>
  </si>
  <si>
    <t>Клавіша e.lux.11881L.pn.l.nickel.hang подвійна "нікель" з підсвіткою (в промоупаковці)</t>
  </si>
  <si>
    <t>ins0020023</t>
  </si>
  <si>
    <t>Клавіша e.lux.11881L.pn.l.nickel.shrink подвійна "нікель" з підсвіткою (запаяна в п/е)</t>
  </si>
  <si>
    <t>ins0040021</t>
  </si>
  <si>
    <t>Клавіша e.lux.11881L.pn.l.white подвійна біла з підсвіткою</t>
  </si>
  <si>
    <t>ins0030021</t>
  </si>
  <si>
    <t>Клавіша e.lux.11881L.pn.l.white.hang подвійна біла з підсвіткою (в промоупаковці)</t>
  </si>
  <si>
    <t>ins0020021</t>
  </si>
  <si>
    <t>Клавіша e.lux.11881L.pn.l.white.shrink подвійна біла з підсвіткою (запаяна в п/е)</t>
  </si>
  <si>
    <t>Кнопки</t>
  </si>
  <si>
    <t>ins0040098</t>
  </si>
  <si>
    <t>Кнопка e.lux.11611L.pn.aluminium одинарна "алюміній"</t>
  </si>
  <si>
    <t>ins0040004</t>
  </si>
  <si>
    <t>Кнопка e.lux.11611L.pn.anthracite одинарна "антрацит"</t>
  </si>
  <si>
    <t>ins0030004</t>
  </si>
  <si>
    <t>Кнопка e.lux.11611L.pn.anthracite.hang одинарна "антрацит" (в промоупаковці)</t>
  </si>
  <si>
    <t>ins0020004</t>
  </si>
  <si>
    <t>Кнопка e.lux.11611L.pn.anthracite.shrink одинарна "антрацит" (запаяна в п/е)</t>
  </si>
  <si>
    <t>ins0040002</t>
  </si>
  <si>
    <t>Кнопка e.lux.11611L.pn.ivory одинарна "слонова кістка"</t>
  </si>
  <si>
    <t>ins0030002</t>
  </si>
  <si>
    <t>Кнопка e.lux.11611L.pn.ivory.hang одинарна "слонова кістка" (в промоупаковці)</t>
  </si>
  <si>
    <t>ins0020002</t>
  </si>
  <si>
    <t>Кнопка e.lux.11611L.pn.ivory.shrink одинарна "слонова кістка" (запаяна в п/е)</t>
  </si>
  <si>
    <t>ins0040003</t>
  </si>
  <si>
    <t>Кнопка e.lux.11611L.pn.nickel одинарна "нікель"</t>
  </si>
  <si>
    <t>ins0030003</t>
  </si>
  <si>
    <t>Кнопка e.lux.11611L.pn.nickel.hang одинарна "нікель" ((в промоупаковці)</t>
  </si>
  <si>
    <t>ins0020003</t>
  </si>
  <si>
    <t>Кнопка e.lux.11611L.pn.nickel.shrink одинарна "нікель" (запаяна в п/е)</t>
  </si>
  <si>
    <t>ins0030001</t>
  </si>
  <si>
    <t>Кнопка e.lux.11611L.pn.white.hang одинарна біла (в промоупаковці)</t>
  </si>
  <si>
    <t>ins0020001</t>
  </si>
  <si>
    <t>Кнопка e.lux.11611L.pn.white.shrink одинарна біла (запаяна в п/е)</t>
  </si>
  <si>
    <t>Одинарна з підсвіткою</t>
  </si>
  <si>
    <t>ins0040099</t>
  </si>
  <si>
    <t>Кнопка e.lux.11651L.pn.aluminium одинарна "алюміній" з підсвіткою</t>
  </si>
  <si>
    <t>ins0040008</t>
  </si>
  <si>
    <t>Кнопка e.lux.11651L.pn.anthracite одинарна "антрацит" з підсвіткою</t>
  </si>
  <si>
    <t>ins0030008</t>
  </si>
  <si>
    <t>Кнопка e.lux.11651L.pn.anthracite.hang одинарна "антрацит" з підсвіткою (в промоупаковці)</t>
  </si>
  <si>
    <t>ins0020008</t>
  </si>
  <si>
    <t>Кнопка e.lux.11651L.pn.anthracite.shrink одинарна "антрацит" з підсвіткою (запаяна в п/е)</t>
  </si>
  <si>
    <t>ins0040006</t>
  </si>
  <si>
    <t>Кнопка e.lux.11651L.pn.l.ivory одинарна "слонова кістка" з підсвіткою</t>
  </si>
  <si>
    <t>ins0030006</t>
  </si>
  <si>
    <t>Кнопка e.lux.11651L.pn.l.ivory.hang одинарна "слонова кістка" з підсвіткою (в промоупаковці)</t>
  </si>
  <si>
    <t>ins0020006</t>
  </si>
  <si>
    <t>Кнопка e.lux.11651L.pn.l.ivory.shrink одинарна "слонова кістка" з підсвіткою (запаяна в п/е)</t>
  </si>
  <si>
    <t>ins0040007</t>
  </si>
  <si>
    <t>Кнопка e.lux.11651L.pn.l.nickel одинарна "нікель" з підсвіткою</t>
  </si>
  <si>
    <t>ins0030007</t>
  </si>
  <si>
    <t>Кнопка e.lux.11651L.pn.l.nickel.hang одинарна "нікель" з підсвіткою (в промоупаковці)</t>
  </si>
  <si>
    <t>ins0020007</t>
  </si>
  <si>
    <t>Кнопка e.lux.11651L.pn.l.nickel.shrink одинарна "нікель" з підсвіткою (запаяна в п/е)</t>
  </si>
  <si>
    <t>ins0040005</t>
  </si>
  <si>
    <t>Кнопка e.lux.11651L.pn.l.white одинарна біла з підсвіткою</t>
  </si>
  <si>
    <t>ins0030005</t>
  </si>
  <si>
    <t>Кнопка e.lux.11651L.pn.l.white.hang одинарна біла з підсвіткою (в промоупаковці)</t>
  </si>
  <si>
    <t>ins0020005</t>
  </si>
  <si>
    <t>Кнопка e.lux.11651L.pn.l.white.shrink одинарна біла з підсвіткою (запаяна в п/е)</t>
  </si>
  <si>
    <t>Комплекти подвійної розетки</t>
  </si>
  <si>
    <t>Комплект без з/к</t>
  </si>
  <si>
    <t>ins0040105</t>
  </si>
  <si>
    <t>Комплект e.lux.1222L.2gz.aluminium розетки подвійної без з/к, "алюміній"</t>
  </si>
  <si>
    <t>ins0040068</t>
  </si>
  <si>
    <t>Комплект e.lux.1222L.2gz.anthracite розетки подвійної без з/к, "антрацит"</t>
  </si>
  <si>
    <t>ins0030068</t>
  </si>
  <si>
    <t>Комплект e.lux.1222L.2gz.anthracite.hang розетки подвійної без з/к, "антрацит"  (в промоупаковці)</t>
  </si>
  <si>
    <t>ins0020068</t>
  </si>
  <si>
    <t>Комплект e.lux.1222L.2gz.anthracite.shrink розетки подвійної без з/к, "антрацит"  (запаяний в п/е)</t>
  </si>
  <si>
    <t>ins0040066</t>
  </si>
  <si>
    <t>Комплект e.lux.1222L.2gz.ivory розетки подвійної без з/к, "слонова кістка"</t>
  </si>
  <si>
    <t>ins0030066</t>
  </si>
  <si>
    <t>Комплект e.lux.1222L.2gz.ivory.hang розетки подвійної без з/к, "слонова кістка"  (в промоупаковці)</t>
  </si>
  <si>
    <t>ins0020066</t>
  </si>
  <si>
    <t>Комплект e.lux.1222L.2gz.ivory.shrink розетки подвійної без з/к, "слонова кістка"  (запаяний в п/е)</t>
  </si>
  <si>
    <t>ins0040067</t>
  </si>
  <si>
    <t>Комплект e.lux.1222L.2gz.nickel розетки подвійної без з/к , "нікель"</t>
  </si>
  <si>
    <t>ins0030067</t>
  </si>
  <si>
    <t>Комплект e.lux.1222L.2gz.nickel.hang розетки подвійної без з/к , "нікель"  (в промоупаковці)</t>
  </si>
  <si>
    <t>ins0020067</t>
  </si>
  <si>
    <t>Комплект e.lux.1222L.2gz.nickel.shrink розетки подвійної без з/к , "нікель"  (запаяний в п/е)</t>
  </si>
  <si>
    <t>ins0040065</t>
  </si>
  <si>
    <t>Комплект e.lux.1222L.2gz.white розетки подвійної без з/к , білий</t>
  </si>
  <si>
    <t>ins0030065</t>
  </si>
  <si>
    <t>Комплект e.lux.1222L.2gz.white.hang розетки подвійної без з/к , білий  (в промоупаковці)</t>
  </si>
  <si>
    <t>ins0020065</t>
  </si>
  <si>
    <t>Комплект e.lux.1222L.2gz.white.shrink розетки подвійної без з/к , білий  (запаяний в п/е)</t>
  </si>
  <si>
    <t>Комплект с з/к</t>
  </si>
  <si>
    <t>ins0040106</t>
  </si>
  <si>
    <t>Комплект e.lux.1232L.2gz.aluminium розетки подвійної з з/к SHUKO , "алюміній"</t>
  </si>
  <si>
    <t>ins0040072</t>
  </si>
  <si>
    <t>Комплект e.lux.1232L.2gz.anthracite розетки подвійної c з/к SHUKO, "антрацит"</t>
  </si>
  <si>
    <t>ins0030072</t>
  </si>
  <si>
    <t>Комплект e.lux.1232L.2gz.anthracite.hang розетки подвійної c з/к SHUKO, "антрацит"  (в промоупаковці)</t>
  </si>
  <si>
    <t>ins0020072</t>
  </si>
  <si>
    <t>Комплект e.lux.1232L.2gz.anthracite.shrink розетки подвійної c з/к SHUKO, "антрацит"  (запаяний в п/е)</t>
  </si>
  <si>
    <t>ins0040070</t>
  </si>
  <si>
    <t>Комплект e.lux.1232L.2gz.ivory розетки подвійної c з/к SHUKO, "слонова кістка"</t>
  </si>
  <si>
    <t>ins0030070</t>
  </si>
  <si>
    <t>Комплект e.lux.1232L.2gz.ivory.hang розетки подвійної c з/к SHUKO, "слонова кістка"  (в промоупаковці)</t>
  </si>
  <si>
    <t>ins0020070</t>
  </si>
  <si>
    <t>Комплект e.lux.1232L.2gz.ivory.shrink розетки подвійної c з/к SHUKO, "слонова кістка"  (запаяний в п/е)</t>
  </si>
  <si>
    <t>ins0040071</t>
  </si>
  <si>
    <t>Комплект e.lux.1232L.2gz.nickel розетки подвійної c з/к SHUKO, "нікель"</t>
  </si>
  <si>
    <t>ins0030071</t>
  </si>
  <si>
    <t>Комплект e.lux.1232L.2gz.nickel.hang розетки подвійної c з/к SHUKO, "нікель"  (в промоупаковці)</t>
  </si>
  <si>
    <t>ins0020071</t>
  </si>
  <si>
    <t>Комплект e.lux.1232L.2gz.nickel.shrink розетки подвійної c з/к SHUKO, "нікель"  (запаяний в п/е)</t>
  </si>
  <si>
    <t>ins0030069</t>
  </si>
  <si>
    <t>Комплект e.lux.1232L.2gz.white.hang розетки подвійної з з/к SHUKO , білий  (в промоупаковці)</t>
  </si>
  <si>
    <t>ins0020069</t>
  </si>
  <si>
    <t>Комплект e.lux.1232L.2gz.white.shrink розетки подвійної з з/к SHUKO , білий  (запаяний в п/е)</t>
  </si>
  <si>
    <t>Механізми</t>
  </si>
  <si>
    <t>Вимикачі</t>
  </si>
  <si>
    <t>ins0010003</t>
  </si>
  <si>
    <t>Механізм e.mz.11112.sw вимикача одноклавішного</t>
  </si>
  <si>
    <t>ins0010002</t>
  </si>
  <si>
    <t>Механізм e.mz.11112.sw.hang вимикача одноклавішного (в промоупаковці)</t>
  </si>
  <si>
    <t>ins0010001</t>
  </si>
  <si>
    <t>Механізм e.mz.11112.sw.shrink вимикача одноклавішного (запаяний в п/е)</t>
  </si>
  <si>
    <t>ins0010014</t>
  </si>
  <si>
    <t>Механізм e.mz.11122.2.sw.hang вимикача двоклавішного (в промоупаковці)</t>
  </si>
  <si>
    <t>ins0010013</t>
  </si>
  <si>
    <t>Механізм e.mz.11122.2.sw.shrink вимикача двоклавішного (запаяний в п/е)</t>
  </si>
  <si>
    <t>ins0010009</t>
  </si>
  <si>
    <t>Механізм e.mz.11172.sw.l вимикача одноклавішного з підсвіткою</t>
  </si>
  <si>
    <t>ins0010008</t>
  </si>
  <si>
    <t>Механізм e.mz.11172.sw.l.hang вимикача одноклавішного з підсвіткою (в промоупаковці)</t>
  </si>
  <si>
    <t>ins0010007</t>
  </si>
  <si>
    <t>Механізм e.mz.11172.sw.l.shrink вимикача одноклавішного з підсвіткою (запаяний в п/е)</t>
  </si>
  <si>
    <t>ins0010005</t>
  </si>
  <si>
    <t>Механізм e.mz.11212.s2w.hang вимикача одноклавішного сходового (в промоупаковці)</t>
  </si>
  <si>
    <t>ins0010004</t>
  </si>
  <si>
    <t>Механізм e.mz.11212.s2w.shrink вимикача одноклавішного сходового (запаяний в п/е)</t>
  </si>
  <si>
    <t>ins0010012</t>
  </si>
  <si>
    <t>Механізм e.mz.11272.s2w.l вимикача одноклавішного сходового з підсвіткою</t>
  </si>
  <si>
    <t>ins0010011</t>
  </si>
  <si>
    <t>Механізм e.mz.11272.s2w.l.hang вимикача одноклавішного сходового з підсвіткою (в промоупаковці)</t>
  </si>
  <si>
    <t>ins0010010</t>
  </si>
  <si>
    <t>Механізм e.mz.11272.s2w.l.shrink вимикача одноклавішного сходового з підсвіткою (запаяний в п/е)</t>
  </si>
  <si>
    <t>ins0010047</t>
  </si>
  <si>
    <t>Механізм e.mz.11312.s2w.inter вимикача одноклавішного проміжного</t>
  </si>
  <si>
    <t>ins0010024</t>
  </si>
  <si>
    <t>Механізм e.mz.11632.pb вимикача одноклавішного кнопкового</t>
  </si>
  <si>
    <t>ins0010023</t>
  </si>
  <si>
    <t>Механізм e.mz.11632.pb.hang вимикача одноклавішного кнопкового (в промоупаковці)</t>
  </si>
  <si>
    <t>ins0010022</t>
  </si>
  <si>
    <t>Механізм e.mz.11632.pb.shrink вимикача одноклавішного кнопкового (запаяний в п/е)</t>
  </si>
  <si>
    <t>ins0010027</t>
  </si>
  <si>
    <t>Механізм e.mz.11652.pb.l вимикача одноклавішного кнопкового з підсвіткою</t>
  </si>
  <si>
    <t>ins0010026</t>
  </si>
  <si>
    <t>Механізм e.mz.11652.pb.l.hang вимикача одноклавішного кнопкового з підсвіткою (в промоупаковці)</t>
  </si>
  <si>
    <t>ins0010025</t>
  </si>
  <si>
    <t>Механізм e.mz.11652.pb.l.shrink вимикача одноклавішного кнопкового з підсвіткою (запаяний в п/е)</t>
  </si>
  <si>
    <t>ins0010017</t>
  </si>
  <si>
    <t>Механізм e.mz.11882.2.sw.l.hang вимикача двоклавішного з підсвіткою (в промоупаковці)</t>
  </si>
  <si>
    <t>ins0010016</t>
  </si>
  <si>
    <t>Механізм e.mz.11882.2.sw.l.shrink вимикача двоклавішного з підсвіткою (запаяний в п/е)</t>
  </si>
  <si>
    <t>ins0040073</t>
  </si>
  <si>
    <t>Механізм e.mz.11912.sw.2P вимикача одноклавішного двополюсного</t>
  </si>
  <si>
    <t>ins0010020</t>
  </si>
  <si>
    <t>Механізм e.mz.11912.sw.2P.hang вимикача одноклавішного двополюсного (в промоупаковці)</t>
  </si>
  <si>
    <t>ins0010019</t>
  </si>
  <si>
    <t>Механізм e.mz.11912.sw.2P.shrink вимикача одноклавішного двополюсного (запаяний в п/е)</t>
  </si>
  <si>
    <t>Димер</t>
  </si>
  <si>
    <t>ins0010045</t>
  </si>
  <si>
    <t>Механізм e.mz.13112.500.dim димера, 500Вт</t>
  </si>
  <si>
    <t>ins0010044</t>
  </si>
  <si>
    <t>Механізм e.mz.13112.500.dim.hang димера, 500Вт (в промоупаковці)</t>
  </si>
  <si>
    <t>ins0010043</t>
  </si>
  <si>
    <t>Механізм e.mz.13112.500.dim.shrink димера, 500Вт (запаяний в п/е)</t>
  </si>
  <si>
    <t>Розетки</t>
  </si>
  <si>
    <t>ins0010039</t>
  </si>
  <si>
    <t>Механізм e.mz.12212.gz розетки без з/к</t>
  </si>
  <si>
    <t>ins0010038</t>
  </si>
  <si>
    <t>Механізм e.mz.12212.gz.hang розетки без з/к (в промоупаковці)</t>
  </si>
  <si>
    <t>ins0010037</t>
  </si>
  <si>
    <t>Механізм e.mz.12212.gz.shrink розетки без з/к (запаяний в п/е)</t>
  </si>
  <si>
    <t>ins0010040</t>
  </si>
  <si>
    <t>Механізм e.mz.12312.gz.shrink розетки з з/к SHUKO (запаяний в п/е)</t>
  </si>
  <si>
    <t>ins0010030</t>
  </si>
  <si>
    <t>Механізм e.mz.14132.rj.12 розетки одинарної телефонної під Jack RJ12</t>
  </si>
  <si>
    <t>ins0010029</t>
  </si>
  <si>
    <t>Механізм e.mz.14132.rj.12.hang розетки одинарної телефонної під Jack RJ12 (в промоупаковці)</t>
  </si>
  <si>
    <t>ins0010028</t>
  </si>
  <si>
    <t>Механізм e.mz.14132.rj.12.shrink розетки одинарної телефонної під Jack RJ12 (запаяний в п/е)</t>
  </si>
  <si>
    <t>ins0010046</t>
  </si>
  <si>
    <t>Механізм e.mz.15112.tv.fem TV-розетки</t>
  </si>
  <si>
    <t>ins0010033</t>
  </si>
  <si>
    <t>Механізм e.mz.16112.rj.45 розетки одинарної комп'ютерної під Jack RJ45</t>
  </si>
  <si>
    <t>ins0010036</t>
  </si>
  <si>
    <t>Механізм e.mz.16172.rj.12.45 розетки 2+1 телефон+комп'ютер під Jack RJ12, RJ45</t>
  </si>
  <si>
    <t>ins0010035</t>
  </si>
  <si>
    <t>Механізм e.mz.16172.rj.12.45.hang розетки 2+1 телефон+комп'ютер під Jack RJ12, RJ45 (в промоупаковці)</t>
  </si>
  <si>
    <t>ins0010034</t>
  </si>
  <si>
    <t>Механізм e.mz.16172.rj.12.45.shrink розетки 2+1 телефон+комп'ютер під Jack RJ12, RJ45 (запаяний в п/е)</t>
  </si>
  <si>
    <t>Панелі для розетки</t>
  </si>
  <si>
    <t>Для вологозахищеної розетки</t>
  </si>
  <si>
    <t>ins0040083</t>
  </si>
  <si>
    <t>Панель e.lux.12391А.pn.wp.aluminium до вологозахищеної розетки, "алюміній"</t>
  </si>
  <si>
    <t>ins0040082</t>
  </si>
  <si>
    <t>Панель e.lux.12391А.pn.wp.antracite до вологозахищеної розетки, "антрацит"</t>
  </si>
  <si>
    <t>ins0040080</t>
  </si>
  <si>
    <t>Панель e.lux.12391А.pn.wp.ivory до вологозахищеної розетки, "слонова кістка"</t>
  </si>
  <si>
    <t>ins0040081</t>
  </si>
  <si>
    <t>Панель e.lux.12391А.pn.wp.nikel до вологозахищеної розетки, "нікель"</t>
  </si>
  <si>
    <t>ins0040079</t>
  </si>
  <si>
    <t>Панель e.lux.12391А.pn.wp.white до вологозахищеної розетки, біла</t>
  </si>
  <si>
    <t>Для розетки без з/к</t>
  </si>
  <si>
    <t>ins0040102</t>
  </si>
  <si>
    <t>Панель e.lux.12211L.pn.aluminium до розетки без з/к "алюміній"</t>
  </si>
  <si>
    <t>ins0040036</t>
  </si>
  <si>
    <t>Панель e.lux.12211L.pn.anthracite до розетки без з/і, "антрацит"</t>
  </si>
  <si>
    <t>ins0030036</t>
  </si>
  <si>
    <t>Панель e.lux.12211L.pn.anthracite.hang для розетки без з/к, "антрацит"  (в промоупаковці)</t>
  </si>
  <si>
    <t>ins0020036</t>
  </si>
  <si>
    <t>Панель e.lux.12211L.pn.anthracite.shrink для розетки без з/к, "антрацит"  (запаяна в п/е)</t>
  </si>
  <si>
    <t>ins0040034</t>
  </si>
  <si>
    <t>Панель e.lux.12211L.pn.ivory до розетки без з/к, "слонова кістка"</t>
  </si>
  <si>
    <t>ins0030034</t>
  </si>
  <si>
    <t>Панель e.lux.12211L.pn.ivory.hang для розетки без з/к, "слонова кістка"  (в промоупаковці)</t>
  </si>
  <si>
    <t>ins0020034</t>
  </si>
  <si>
    <t>Панель e.lux.12211L.pn.ivory.shrink для розетки без з/к, "слонова кістка"  (запаяна в п/е)</t>
  </si>
  <si>
    <t>ins0040035</t>
  </si>
  <si>
    <t>Панель e.lux.12211L.pn.nickel до розетки без з/к, "нікель"</t>
  </si>
  <si>
    <t>ins0030035</t>
  </si>
  <si>
    <t>Панель e.lux.12211L.pn.nickel.hang для розетки без з/к, "нікель"  (в промоупаковці)</t>
  </si>
  <si>
    <t>ins0020035</t>
  </si>
  <si>
    <t>Панель e.lux.12211L.pn.nickel.shrink для розетки без з/к, "нікель"  (запаяна в п/е)</t>
  </si>
  <si>
    <t>ins0040033</t>
  </si>
  <si>
    <t>Панель e.lux.12211L.pn.white до розетки без з/к, біла</t>
  </si>
  <si>
    <t>ins0030033</t>
  </si>
  <si>
    <t>Панель e.lux.12211L.pn.white.hang для розетки без з/к, біла  (в промоупаковці)</t>
  </si>
  <si>
    <t>ins0020033</t>
  </si>
  <si>
    <t>Панель e.lux.12211L.pn.white.shrink для розетки без з/к, біла  (запаяна в п/е)</t>
  </si>
  <si>
    <t>Для розетки одинарної під RJ12 або RJ45</t>
  </si>
  <si>
    <t>ins0020026</t>
  </si>
  <si>
    <t>Панель e.lux.16111L.pn.ivory.shrink для розетки одинарної під Jack RJ12 або RJ45, "слонова кістка"  (запаяна в п/е)</t>
  </si>
  <si>
    <t>ins0020025</t>
  </si>
  <si>
    <t>Панель e.lux.16111L.pn.white.shrink для розетки одинарної під Jack RJ12 або RJ45, біла  (запаяна в п/е)</t>
  </si>
  <si>
    <t>Для розетки подвійної під RJ12 або RJ45</t>
  </si>
  <si>
    <t>ins0040101</t>
  </si>
  <si>
    <t>Панель e.lux.16121L.pn.aluminium до розетки подвійної під Jack RJ12 чи RJ45, "алюміній"</t>
  </si>
  <si>
    <t>ins0040032</t>
  </si>
  <si>
    <t>Панель e.lux.16121L.pn.anthracite до розетки подвійної під Jack RJ12 чи RJ45, "антрацит"</t>
  </si>
  <si>
    <t>ins0030032</t>
  </si>
  <si>
    <t>Панель e.lux.16121L.pn.anthracite.hang для розетки подвійної під Jack RJ12 або RJ45, "антрацит"  (в промоупаковці)</t>
  </si>
  <si>
    <t>ins0020032</t>
  </si>
  <si>
    <t>Панель e.lux.16121L.pn.anthracite.shrink для розетки подвійної під Jack RJ12 або RJ45, "антрацит"  (запаяна в п/е)</t>
  </si>
  <si>
    <t>ins0040030</t>
  </si>
  <si>
    <t>Панель e.lux.16121L.pn.ivory до розетки подвійної під Jack RJ12 чи RJ45, "слонова кістка"</t>
  </si>
  <si>
    <t>ins0040031</t>
  </si>
  <si>
    <t>Панель e.lux.16121L.pn.nickel до розетки подвійної під Jack RJ12 чи RJ45, "нікель"</t>
  </si>
  <si>
    <t>ins0030031</t>
  </si>
  <si>
    <t>Панель e.lux.16121L.pn.nickel.hang для розетки подвійної під Jack RJ12 або RJ45, "нікель"  (в промоупаковці)</t>
  </si>
  <si>
    <t>ins0020031</t>
  </si>
  <si>
    <t>Панель e.lux.16121L.pn.nickel.shrink для розетки подвійної під Jack RJ12 або RJ45, "нікель"  (запаяна в п/е)</t>
  </si>
  <si>
    <t>ins0040029</t>
  </si>
  <si>
    <t>Панель e.lux.16121L.pn.white до розетки подвійної під Jack RJ12 чи RJ45, біла</t>
  </si>
  <si>
    <t>ins0030029</t>
  </si>
  <si>
    <t>Панель e.lux.16121L.pn.white.hang для розетки подвійної під Jack RJ12 або RJ45, біла  (в промоупаковці)</t>
  </si>
  <si>
    <t>ins0020029</t>
  </si>
  <si>
    <t>Панель e.lux.16121L.pn.white.shrink для розетки подвійної під Jack RJ12 або RJ45, біла  (запаяна в п/е)</t>
  </si>
  <si>
    <t>Для розетки с з/к</t>
  </si>
  <si>
    <t>ins0030039</t>
  </si>
  <si>
    <t>Панель e.lux.12311L.pn.nickel.hang для розетки c з/к SHUKO, "нікель"  (в промоупаковці)</t>
  </si>
  <si>
    <t>ins0020039</t>
  </si>
  <si>
    <t>Панель e.lux.12311L.pn.nickel.shrink для розетки c з/к SHUKO, "нікель"  (запаяна в п/е)</t>
  </si>
  <si>
    <t>Для ТV-розетки</t>
  </si>
  <si>
    <t>ins0040078</t>
  </si>
  <si>
    <t>Панель e.lux.15111L.pn.tv.aluminium для TV-розетки, "алюміній"</t>
  </si>
  <si>
    <t>ins0040077</t>
  </si>
  <si>
    <t>Панель e.lux.15111L.pn.tv.antracite для TV-розетки, "антрацит"</t>
  </si>
  <si>
    <t>ins0040075</t>
  </si>
  <si>
    <t>Панель e.lux.15111L.pn.tv.ivory для TV-розетки, "слонова кістка"</t>
  </si>
  <si>
    <t>ins0040076</t>
  </si>
  <si>
    <t>Панель e.lux.15111L.pn.tv.nickel для TV-розетки, "нікель"</t>
  </si>
  <si>
    <t>ins0040074</t>
  </si>
  <si>
    <t>Панель e.lux.15111L.pn.tv.white для TV-розетки, біла</t>
  </si>
  <si>
    <t>Панелі світлорегулятора</t>
  </si>
  <si>
    <t>ins0040104</t>
  </si>
  <si>
    <t>Панель e.lux.13011L.13006C.pn.aluminium світлорегулятора з диском, "алюміній"</t>
  </si>
  <si>
    <t>ins0040044</t>
  </si>
  <si>
    <t>Панель e.lux.13011L.13006C.pn.anthracite світлорегулятора з диском, "антрацит"</t>
  </si>
  <si>
    <t>ins0030044</t>
  </si>
  <si>
    <t>Панель e.lux.13011L.13006C.pn.anthracite.hang світлорегулятора з диском, "антрацит"  (в промоупаковці)</t>
  </si>
  <si>
    <t>ins0020044</t>
  </si>
  <si>
    <t>Панель e.lux.13011L.13006C.pn.anthracite.shrink світлорегулятора з диском, "антрацит"  (запаяна в п/е)</t>
  </si>
  <si>
    <t>ins0040042</t>
  </si>
  <si>
    <t>Панель e.lux.13011L.13006C.pn.ivory світлорегулятора з диском, "слонова кістка"</t>
  </si>
  <si>
    <t>ins0030042</t>
  </si>
  <si>
    <t>Панель e.lux.13011L.13006C.pn.ivory.hang світлорегулятора з диском, "слонова кістка"  (в промоупаковці)</t>
  </si>
  <si>
    <t>ins0020042</t>
  </si>
  <si>
    <t>Панель e.lux.13011L.13006C.pn.ivory.shrink світлорегулятора з диском, "слонова кістка"  (запаяна в п/е)</t>
  </si>
  <si>
    <t>ins0040043</t>
  </si>
  <si>
    <t>Панель e.lux.13011L.13006C.pn.nickel світлорегулятора з диском, "нікель"</t>
  </si>
  <si>
    <t>ins0030043</t>
  </si>
  <si>
    <t>Панель e.lux.13011L.13006C.pn.nickel.hang світлорегулятора з диском, "нікель"  (в промоупаковці)</t>
  </si>
  <si>
    <t>ins0020043</t>
  </si>
  <si>
    <t>Панель e.lux.13011L.13006C.pn.nickel.shrink світлорегулятора з диском, "нікель"  (запаяна в п/е)</t>
  </si>
  <si>
    <t>ins0040041</t>
  </si>
  <si>
    <t>Панель e.lux.13011L.13006C.pn.white світлорегулятора з диском, біла</t>
  </si>
  <si>
    <t>ins0030041</t>
  </si>
  <si>
    <t>Панель e.lux.13011L.13006C.pn.white.hang світлорегулятора з диском, біла  (в промоупаковці)</t>
  </si>
  <si>
    <t>ins0020041</t>
  </si>
  <si>
    <t>Панель e.lux.13011L.13006C.pn.white.shrink світлорегулятора з диском, біла  (запаяна в п/е)</t>
  </si>
  <si>
    <t>Рамки</t>
  </si>
  <si>
    <t>1-містна</t>
  </si>
  <si>
    <t>ins0040089</t>
  </si>
  <si>
    <t>Рамка e.lux.10024L.1.fr.aluminium 1-містна, "алюміній"</t>
  </si>
  <si>
    <t>ins0040048</t>
  </si>
  <si>
    <t>Рамка e.lux.10024L.1.fr.anthracite 1-містна, "антрацит"</t>
  </si>
  <si>
    <t>ins0030048</t>
  </si>
  <si>
    <t>Рамка e.lux.10024L.1.fr.anthracite.hang 1-містна, "антрацит"  (в промоупаковці)</t>
  </si>
  <si>
    <t>ins0020048</t>
  </si>
  <si>
    <t>Рамка e.lux.10024L.1.fr.anthracite.shrink 1-містна, "антрацит"  (запаяна в п/е)</t>
  </si>
  <si>
    <t>ins0040046</t>
  </si>
  <si>
    <t>Рамка e.lux.10024L.1.fr.ivory 1-містна, "слонова кістка"</t>
  </si>
  <si>
    <t>ins0030046</t>
  </si>
  <si>
    <t>Рамка e.lux.10024L.1.fr.ivory.hang 1-містна, "слонова кістка"  (в промоупаковці)</t>
  </si>
  <si>
    <t>ins0020046</t>
  </si>
  <si>
    <t>Рамка e.lux.10024L.1.fr.ivory.shrink 1-містна, "слонова кістка"  (запаяна в п/е)</t>
  </si>
  <si>
    <t>ins0040047</t>
  </si>
  <si>
    <t>Рамка e.lux.10024L.1.fr.nickel 1-містна , "нікель"</t>
  </si>
  <si>
    <t>ins0030047</t>
  </si>
  <si>
    <t>Рамка e.lux.10024L.1.fr.nickel.hang 1-містна , "нікель"  (в промоупаковці)</t>
  </si>
  <si>
    <t>ins0020047</t>
  </si>
  <si>
    <t>Рамка e.lux.10024L.1.fr.nickel.shrink 1-містна , "нікель"  (запаяна в п/е)</t>
  </si>
  <si>
    <t>ins0030045</t>
  </si>
  <si>
    <t>Рамка e.lux.10024L.1.fr.white.hang 1-містна, біла  (в промоупаковці)</t>
  </si>
  <si>
    <t>ins0020045</t>
  </si>
  <si>
    <t>Рамка e.lux.10024L.1.fr.white.shrink 1-містна, біла  (запаяна в п/е)</t>
  </si>
  <si>
    <t>2-містна</t>
  </si>
  <si>
    <t>ins0040090</t>
  </si>
  <si>
    <t>Рамка e.lux.10044L.2.fr.aluminium 2-містна, "алюміній"</t>
  </si>
  <si>
    <t>ins0040052</t>
  </si>
  <si>
    <t>Рамка e.lux.10044L.2.fr.anthracite 2-містна, "антрацит"</t>
  </si>
  <si>
    <t>ins0030052</t>
  </si>
  <si>
    <t>Рамка e.lux.10044L.2.fr.anthracite.hang 2-містна, "антрацит"  (в промоупаковці)</t>
  </si>
  <si>
    <t>ins0020052</t>
  </si>
  <si>
    <t>Рамка e.lux.10044L.2.fr.anthracite.shrink 2-містна, "антрацит"  (запаяна в п/е)</t>
  </si>
  <si>
    <t>ins0030050</t>
  </si>
  <si>
    <t>Рамка e.lux.10044L.2.fr.ivory.hang 2-містна, "слонова кістка"  (в промоупаковці)</t>
  </si>
  <si>
    <t>ins0020050</t>
  </si>
  <si>
    <t>Рамка e.lux.10044L.2.fr.ivory.shrink 2-містна, "слонова кістка"  (запаяна в п/е)</t>
  </si>
  <si>
    <t>ins0040051</t>
  </si>
  <si>
    <t>Рамка e.lux.10044L.2.fr.nickel 2-містна , "нікель"</t>
  </si>
  <si>
    <t>ins0030051</t>
  </si>
  <si>
    <t>Рамка e.lux.10044L.2.fr.nickel.hang 2-містна , "нікель"  (в промоупаковці)</t>
  </si>
  <si>
    <t>ins0020051</t>
  </si>
  <si>
    <t>Рамка e.lux.10044L.2.fr.nickel.shrink 2-містна , "нікель"  (запаяна в п/е)</t>
  </si>
  <si>
    <t>ins0040049</t>
  </si>
  <si>
    <t>Рамка e.lux.10044L.2.fr.white 2-містна, біла</t>
  </si>
  <si>
    <t>ins0030049</t>
  </si>
  <si>
    <t>Рамка e.lux.10044L.2.fr.white.hang 2-містна, біла  (в промоупаковці)</t>
  </si>
  <si>
    <t>ins0020049</t>
  </si>
  <si>
    <t>Рамка e.lux.10044L.2.fr.white.shrink 2-містна, біла  (запаяна в п/е)</t>
  </si>
  <si>
    <t>3-містна</t>
  </si>
  <si>
    <t>ins0040091</t>
  </si>
  <si>
    <t>Рамка e.lux.10064L.3.fr.aluminium 3-містна, "алюміній"</t>
  </si>
  <si>
    <t>ins0040056</t>
  </si>
  <si>
    <t>Рамка e.lux.10064L.3.fr.anthracite 3-містна, "антрацит"</t>
  </si>
  <si>
    <t>ins0030056</t>
  </si>
  <si>
    <t>Рамка e.lux.10064L.3.fr.anthracite.hang 3-містна, "антрацит"  (в промоупаковці)</t>
  </si>
  <si>
    <t>ins0020056</t>
  </si>
  <si>
    <t>Рамка e.lux.10064L.3.fr.anthracite.shrink 3-містна, "антрацит"  (запаяна в п/е)</t>
  </si>
  <si>
    <t>ins0040054</t>
  </si>
  <si>
    <t>Рамка e.lux.10064L.3.fr.ivory 3-містна, "слонова кістка"</t>
  </si>
  <si>
    <t>ins0030054</t>
  </si>
  <si>
    <t>Рамка e.lux.10064L.3.fr.ivory.hang 3-містна, "слонова кістка"  (в промоупаковці)</t>
  </si>
  <si>
    <t>ins0020054</t>
  </si>
  <si>
    <t>Рамка e.lux.10064L.3.fr.ivory.shrink 3-містна, "слонова кістка"  (запаяна в п/е)</t>
  </si>
  <si>
    <t>ins0040055</t>
  </si>
  <si>
    <t>Рамка e.lux.10064L.3.fr.nickel 3-містна , "нікель"</t>
  </si>
  <si>
    <t>ins0030055</t>
  </si>
  <si>
    <t>Рамка e.lux.10064L.3.fr.nickel.hang 3-містна , "нікель"  (в промоупаковці)</t>
  </si>
  <si>
    <t>ins0020055</t>
  </si>
  <si>
    <t>Рамка e.lux.10064L.3.fr.nickel.shrink 3-містна , "нікель"  (запаяна в п/е)</t>
  </si>
  <si>
    <t>ins0040053</t>
  </si>
  <si>
    <t>Рамка e.lux.10064L.3.fr.white 3-містна, біла</t>
  </si>
  <si>
    <t>ins0030053</t>
  </si>
  <si>
    <t>Рамка e.lux.10064L.3.fr.white.hang 3-містна, біла  (в промоупаковці)</t>
  </si>
  <si>
    <t>ins0020053</t>
  </si>
  <si>
    <t>Рамка e.lux.10064L.3.fr.white.shrink 3-містна, біла  (запаяна в п/е)</t>
  </si>
  <si>
    <t>4-містна</t>
  </si>
  <si>
    <t>ins0040092</t>
  </si>
  <si>
    <t>Рамка e.lux.10084L.4.fr.aluminium 4-містна, "алюміній"</t>
  </si>
  <si>
    <t>ins0030060</t>
  </si>
  <si>
    <t>Рамка e.lux.10084L.4.fr.anthracite.hang 4-містна, "антрацит"  (в промоупаковці)</t>
  </si>
  <si>
    <t>ins0020060</t>
  </si>
  <si>
    <t>Рамка e.lux.10084L.4.fr.anthracite.shrink 4-містна, "антрацит"  (запаяна в п/е)</t>
  </si>
  <si>
    <t>ins0030058</t>
  </si>
  <si>
    <t>Рамка e.lux.10084L.4.fr.ivory.hang 4-містна, "слонова кістка"  (в промоупаковці)</t>
  </si>
  <si>
    <t>ins0020058</t>
  </si>
  <si>
    <t>Рамка e.lux.10084L.4.fr.ivory.shrink 4-містна, "слонова кістка"  (запаяна в п/е)</t>
  </si>
  <si>
    <t>ins0040059</t>
  </si>
  <si>
    <t>Рамка e.lux.10084L.4.fr.nickel 4-містна , "нікель"</t>
  </si>
  <si>
    <t>ins0020059</t>
  </si>
  <si>
    <t>Рамка e.lux.10084L.4.fr.nickel.shrink 4-містна , "нікель"  (запаяна в п/е)</t>
  </si>
  <si>
    <t>ins0040057</t>
  </si>
  <si>
    <t>Рамка e.lux.10084L.4.fr.white 4-містна, біла</t>
  </si>
  <si>
    <t>ins0030057</t>
  </si>
  <si>
    <t>Рамка e.lux.10084L.4.fr.white.hang 4-містна, біла  (в промоупаковці)</t>
  </si>
  <si>
    <t>ins0020057</t>
  </si>
  <si>
    <t>Рамка e.lux.10084L.4.fr.white.shrink 4-містна, біла  (запаяна в п/е)</t>
  </si>
  <si>
    <t>5-містна</t>
  </si>
  <si>
    <t>ins0040093</t>
  </si>
  <si>
    <t>Рамка e.lux.10104L.5.fr.aluminium 5-містна , "алюміній"</t>
  </si>
  <si>
    <t>ins0040064</t>
  </si>
  <si>
    <t>Рамка e.lux.10104L.5.fr.anthracite 5-містна, "антрацит"</t>
  </si>
  <si>
    <t>ins0030064</t>
  </si>
  <si>
    <t>Рамка e.lux.10104L.5.fr.anthracite.hang 5-містна, "антрацит"  (в промоупаковці)</t>
  </si>
  <si>
    <t>ins0020064</t>
  </si>
  <si>
    <t>Рамка e.lux.10104L.5.fr.anthracite.shrink 5-містна, "антрацит"  (запаяна в п/е)</t>
  </si>
  <si>
    <t>ins0040062</t>
  </si>
  <si>
    <t>Рамка e.lux.10104L.5.fr.ivory 5-містна, "слонова кістка"</t>
  </si>
  <si>
    <t>ins0030062</t>
  </si>
  <si>
    <t>Рамка e.lux.10104L.5.fr.ivory.hang 5-містна, "слонова кістка"  (в промоупаковці)</t>
  </si>
  <si>
    <t>ins0020062</t>
  </si>
  <si>
    <t>Рамка e.lux.10104L.5.fr.ivory.shrink 5-містна, "слонова кістка"  (запаяна в п/е)</t>
  </si>
  <si>
    <t>ins0040063</t>
  </si>
  <si>
    <t>Рамка e.lux.10104L.5.fr.nickel 5-містна , "нікель"</t>
  </si>
  <si>
    <t>ins0030063</t>
  </si>
  <si>
    <t>Рамка e.lux.10104L.5.fr.nickel.hang 5-містна, "нікель"  (в промоупаковці)</t>
  </si>
  <si>
    <t>ins0020063</t>
  </si>
  <si>
    <t>Рамка e.lux.10104L.5.fr.nickel.shrink 5-містна , "нікель"  (запаяна в п/е)</t>
  </si>
  <si>
    <t>ins0030061</t>
  </si>
  <si>
    <t>Рамка e.lux.10104L.5.fr.white.hang 5-містна, біла  (в промоупаковці)</t>
  </si>
  <si>
    <t>ins0020061</t>
  </si>
  <si>
    <t>Рамка e.lux.10104L.5.fr.white.shrink 5-містна, біла  (запаяна в п/е)</t>
  </si>
  <si>
    <t>ins0040088</t>
  </si>
  <si>
    <t>Рамка e.lux.12094L.1.fr.wp.aluminium для вологозахищеної розетки, "алюміній"</t>
  </si>
  <si>
    <t>ins0040087</t>
  </si>
  <si>
    <t>Рамка e.lux.12094L.1.fr.wp.antracite для вологозахищеної розетки, "антрацит"</t>
  </si>
  <si>
    <t>ins0040085</t>
  </si>
  <si>
    <t>Рамка e.lux.12094L.1.fr.wp.ivory для вологозахищеної розетки, "слонова кістка"</t>
  </si>
  <si>
    <t>ins0040086</t>
  </si>
  <si>
    <t>Рамка e.lux.12094L.1.fr.wp.nikel для вологозахищеної розетки, "нікель"</t>
  </si>
  <si>
    <t>ins0040084</t>
  </si>
  <si>
    <t>Рамка e.lux.12094L.1.fr.wp.white для вологозахищеної розетки, біла</t>
  </si>
  <si>
    <t>5.Серія TAREL</t>
  </si>
  <si>
    <t>1.Розетки</t>
  </si>
  <si>
    <t>232</t>
  </si>
  <si>
    <t>Розетка RTV + SAT</t>
  </si>
  <si>
    <t>230</t>
  </si>
  <si>
    <t>Розетка RTV кінцева</t>
  </si>
  <si>
    <t>231</t>
  </si>
  <si>
    <t>Розетка RTV прохідна</t>
  </si>
  <si>
    <t>216</t>
  </si>
  <si>
    <t>Розетка без з/к подвійна, 220В</t>
  </si>
  <si>
    <t>202</t>
  </si>
  <si>
    <t>Розетка без з/к,  220В</t>
  </si>
  <si>
    <t>202/2</t>
  </si>
  <si>
    <t>Розетка без з/к, зовнішній монтаж, 220В</t>
  </si>
  <si>
    <t>220</t>
  </si>
  <si>
    <t>Розетка з з/к з кришкою, 220В S, 16A 2P+Z</t>
  </si>
  <si>
    <t>219</t>
  </si>
  <si>
    <t>Розетка з з/к з кришкою, 220В з центр заземл контактом</t>
  </si>
  <si>
    <t>217</t>
  </si>
  <si>
    <t>Розетка з з/к подвійна, 220В S, 16A 2P+Z</t>
  </si>
  <si>
    <t>215</t>
  </si>
  <si>
    <t>Розетка з з/к подвійна, 220В з центр заземл контактом</t>
  </si>
  <si>
    <t>200</t>
  </si>
  <si>
    <t>Розетка з з/к, 220В S, 16А  2P+Z</t>
  </si>
  <si>
    <t>201</t>
  </si>
  <si>
    <t>Розетка з з/к, 220В з центр заземл контактом</t>
  </si>
  <si>
    <t>201/2</t>
  </si>
  <si>
    <t>Розетка з з/к, зовнішній монтаж, 220В з центр заземл контактом</t>
  </si>
  <si>
    <t>200/2</t>
  </si>
  <si>
    <t>Розетка з з/к, зовнішній монтаж, 250В S, 16A 2P+Z</t>
  </si>
  <si>
    <t>228</t>
  </si>
  <si>
    <t>Розетка комп'ютерна RJ45</t>
  </si>
  <si>
    <t>213</t>
  </si>
  <si>
    <t>Розетка телефонна подвійна</t>
  </si>
  <si>
    <t>2.Вимикачі</t>
  </si>
  <si>
    <t>205</t>
  </si>
  <si>
    <t>Вимикач двохклавішний, 10А, 250В</t>
  </si>
  <si>
    <t>204</t>
  </si>
  <si>
    <t>Вимикач одноклавішний, 10А, 250В</t>
  </si>
  <si>
    <t>207</t>
  </si>
  <si>
    <t>Вимикач перехресний, 10А, 250В</t>
  </si>
  <si>
    <t>209</t>
  </si>
  <si>
    <t>Вимикач світла, 10А, 250В</t>
  </si>
  <si>
    <t>208</t>
  </si>
  <si>
    <t>Вимикач сходовий, 10А, 250В</t>
  </si>
  <si>
    <t>206</t>
  </si>
  <si>
    <t>Вимикач-дзвоник, 10А, 250В</t>
  </si>
  <si>
    <t>3.Рамки</t>
  </si>
  <si>
    <t>222</t>
  </si>
  <si>
    <t>Рамка подвійна</t>
  </si>
  <si>
    <t>223</t>
  </si>
  <si>
    <t>Рамка потрійна</t>
  </si>
  <si>
    <t>224</t>
  </si>
  <si>
    <t>Рамка четвірна</t>
  </si>
  <si>
    <t>4.Кольорові вставки</t>
  </si>
  <si>
    <t>225/RAL 8017</t>
  </si>
  <si>
    <t>Кольорова вставка, бордова</t>
  </si>
  <si>
    <t>225/RAL 1023</t>
  </si>
  <si>
    <t>Кольорова вставка, жовта</t>
  </si>
  <si>
    <t>225/RAL 6024</t>
  </si>
  <si>
    <t>Кольорова вставка, зелена</t>
  </si>
  <si>
    <t>225/RAL 5005</t>
  </si>
  <si>
    <t>Кольорова вставка, синя</t>
  </si>
  <si>
    <t>225/RAL 7038</t>
  </si>
  <si>
    <t>Кольорова вставка, сіра</t>
  </si>
  <si>
    <t>225/RAL 3020</t>
  </si>
  <si>
    <t>Кольорова вставка, червона</t>
  </si>
  <si>
    <t>225/RAL 9005</t>
  </si>
  <si>
    <t>Кольорова вставка, чорна</t>
  </si>
  <si>
    <t>5.Коробки установочні</t>
  </si>
  <si>
    <t>236</t>
  </si>
  <si>
    <t>Коробка установочна подвійна, зовнішній монтаж 220В</t>
  </si>
  <si>
    <t>235</t>
  </si>
  <si>
    <t>Коробка установочна, зовнішній монтаж 220В</t>
  </si>
  <si>
    <t>6.Серія E.TOUCH зовнішня IP20</t>
  </si>
  <si>
    <t>p043001</t>
  </si>
  <si>
    <t>Вимикач одноклавішний e.touch.1111.w.blister для зовнішнього монтажу, білий, в блістерній упаковці.</t>
  </si>
  <si>
    <t>p043004</t>
  </si>
  <si>
    <t>Вимикач двоклавішний e.touch.1112.w  для зовнішнього монтажу, білий</t>
  </si>
  <si>
    <t>p043003</t>
  </si>
  <si>
    <t>Вимикач двоклавішний e.touch.1112.w.blister для зовнішнього монтажу, білий, в блістерній упаковці</t>
  </si>
  <si>
    <t>p043007</t>
  </si>
  <si>
    <t>Розетка одинарна e.touch.1221.w.blister  без з/к, для зовнішнього монтажу, біла, в блістерній упаковці</t>
  </si>
  <si>
    <t>p043009</t>
  </si>
  <si>
    <t>Розетка подвійна e.touch.1222.w.blister  без з/к, для зовнішнього монтажу, біла, в блістерній упаковці.</t>
  </si>
  <si>
    <t>p043011</t>
  </si>
  <si>
    <t>Розетка одинарна e.touch.1231.w.blister  з з/к, для зовнішнього монтажу, біла, в блістерній упаковці.</t>
  </si>
  <si>
    <t>p043016</t>
  </si>
  <si>
    <t>Вимикач з регулятором e.touch.1311.w  для зовнішнього монтажу, білий, 500 Вт.</t>
  </si>
  <si>
    <t>p043015</t>
  </si>
  <si>
    <t>Вимикач з регулятором e.touch.1311.w.blister  для зовнішнього монтажу, білий, 500 Вт, в блістерній упаковці</t>
  </si>
  <si>
    <t>7.Серія E.DEW зовнішня IP44</t>
  </si>
  <si>
    <t>p044012</t>
  </si>
  <si>
    <t>Розетка одинарна з перемикачем  e.dew.1237.gr з з/к, для зовнішнього монтажу, IP 44.</t>
  </si>
  <si>
    <t>p044011</t>
  </si>
  <si>
    <t>Розетка одинарна з перемикачем  e.dew.1237.gr.blister з з/к, для зовнішнього монтажу, IP 44, в блістерній упаковці</t>
  </si>
  <si>
    <t>11.Електрообігрів</t>
  </si>
  <si>
    <t>1.Мати нагрівальні двожильні MAT 150 Вт/кв.м. 230В</t>
  </si>
  <si>
    <t>h0010001</t>
  </si>
  <si>
    <t>Мат нагрівальний двожильний e.heat.mat.150, 150Вт, 1м.кв., 230В</t>
  </si>
  <si>
    <t>h0010002</t>
  </si>
  <si>
    <t>Мат нагрівальний двожильний e.heat.mat.150.225, 225Вт, 1,5м.кв., 230В</t>
  </si>
  <si>
    <t>h0010003</t>
  </si>
  <si>
    <t>Мат нагрівальний двожильний e.heat.mat.150.300, 300Вт, 2,0м.кв., 230В</t>
  </si>
  <si>
    <t>h0010004</t>
  </si>
  <si>
    <t>Мат нагрівальний двожильний e.heat.mat.150.375, 375Вт, 2,5м.кв., 230В</t>
  </si>
  <si>
    <t>h0010005</t>
  </si>
  <si>
    <t>Мат нагрівальний двожильний e.heat.mat.150.450, 450Вт, 3,0м.кв., 230В</t>
  </si>
  <si>
    <t>h0010006</t>
  </si>
  <si>
    <t>Мат нагрівальний двожильний e.heat.mat.150.525, 525Вт, 3,5м.кв., 230В</t>
  </si>
  <si>
    <t>h0010007</t>
  </si>
  <si>
    <t>Мат нагрівальний двожильний e.heat.mat.150.600, 600Вт, 4,0м.кв., 230В</t>
  </si>
  <si>
    <t>h0010008</t>
  </si>
  <si>
    <t>Мат нагрівальний двожильний e.heat.mat.150.675, 675Вт, 4,5м.кв., 230В</t>
  </si>
  <si>
    <t>h0010009</t>
  </si>
  <si>
    <t>Мат нагрівальний двожильний e.heat.mat.150.750, 750Вт, 5,0м.кв., 230В</t>
  </si>
  <si>
    <t>h0010010</t>
  </si>
  <si>
    <t>Мат нагрівальний двожильний e.heat.mat.150.900, 900Вт, 6,0м.кв., 230В</t>
  </si>
  <si>
    <t>h0010011</t>
  </si>
  <si>
    <t>Мат нагрівальний двожильний e.heat.mat.150.1050, 1050Вт, 7,0м.кв., 230В</t>
  </si>
  <si>
    <t>h0010012</t>
  </si>
  <si>
    <t>Мат нагрівальний двожильний e.heat.mat.150.1200, 1200Вт, 8,0м.кв., 230В</t>
  </si>
  <si>
    <t>h0010013</t>
  </si>
  <si>
    <t>Мат нагрівальний двожильний e.heat.mat.150.1350, 1350Вт, 9,0м.кв., 230В</t>
  </si>
  <si>
    <t>h0010014</t>
  </si>
  <si>
    <t>Мат нагрівальний двожильний e.heat.mat.150.1500, 1500Вт, 10,0м.кв., 230В</t>
  </si>
  <si>
    <t>h0010015</t>
  </si>
  <si>
    <t>Мат нагрівальний двожильний e.heat.mat.150.1650, 1650Вт, 11,0м.кв., 230В</t>
  </si>
  <si>
    <t>h0010016</t>
  </si>
  <si>
    <t>Мат нагрівальний двожильний e.heat.mat.150.1800, 1800Вт, 12,0м.кв., 230В</t>
  </si>
  <si>
    <t>h0010017</t>
  </si>
  <si>
    <t>Мат нагрівальний двожильний e.heat.mat.150.2250, 2250Вт, 15,0м.кв., 230В</t>
  </si>
  <si>
    <t>2.Кабель нагрівальний одножильний S 17Вт/м  230В</t>
  </si>
  <si>
    <t>h0020001</t>
  </si>
  <si>
    <t>Кабель нагрівальний одножильний e.heat.cable.s.17.170. 10м, 170Вт, 230В</t>
  </si>
  <si>
    <t>h0020002</t>
  </si>
  <si>
    <t>Кабель нагрівальний одножильний e.heat.cable.s.17.250. 15м, 250Вт, 230В</t>
  </si>
  <si>
    <t>h0020003</t>
  </si>
  <si>
    <t>Кабель нагрівальний одножильний e.heat.cable.s.17.350. 21м, 350Вт, 230В</t>
  </si>
  <si>
    <t>h0020004</t>
  </si>
  <si>
    <t>Кабель нагрівальний одножильний e.heat.cable.s.17.450. 27м, 450Вт, 230В</t>
  </si>
  <si>
    <t>h0020005</t>
  </si>
  <si>
    <t>Кабель нагрівальний одножильний e.heat.cable.s.17.600. 35м, 600Вт, 230В</t>
  </si>
  <si>
    <t>h0020006</t>
  </si>
  <si>
    <t>Кабель нагрівальний одножильний e.heat.cable.s.17.700. 41м, 700Вт, 230В</t>
  </si>
  <si>
    <t>h0020008</t>
  </si>
  <si>
    <t>Кабель нагрівальний одножильний e.heat.cable.s.17.900. 54м, 900Вт, 230В</t>
  </si>
  <si>
    <t>h0020009</t>
  </si>
  <si>
    <t>Кабель нагрівальний одножильний e.heat.cable.s.17.1100. 65м, 1100Вт, 230В</t>
  </si>
  <si>
    <t>h0020007</t>
  </si>
  <si>
    <t>Кабель нагрівальний одножильний e.heat.cable.s.17.1350. 75м, 1350Вт, 230В</t>
  </si>
  <si>
    <t>h0020010</t>
  </si>
  <si>
    <t>Кабель нагрівальний одножильний e.heat.cable.s.17.1450. 84м, 1450Вт, 230В</t>
  </si>
  <si>
    <t>h0020011</t>
  </si>
  <si>
    <t>Кабель нагрівальний одножильний e.heat.cable.s.17.1600. 94м, 1600Вт, 230В</t>
  </si>
  <si>
    <t>h0020012</t>
  </si>
  <si>
    <t>Кабель нагрівальний одножильний e.heat.cable.s.17.1900. 112м, 1900Вт, 230В</t>
  </si>
  <si>
    <t>h0020013</t>
  </si>
  <si>
    <t>Кабель нагрівальний одножильний e.heat.cable.s.17.2300. 135м, 2300Вт, 230В</t>
  </si>
  <si>
    <t>h0020014</t>
  </si>
  <si>
    <t>Кабель нагрівальний одножильний e.heat.cable.s.17.3150. 185м, 3150Вт, 230В</t>
  </si>
  <si>
    <t>3.Кабель нагрівальний двожильний T 17 Вт/м 230В</t>
  </si>
  <si>
    <t>h0030001</t>
  </si>
  <si>
    <t>Кабель нагрівальний двожильний e.heat.cable.t.17.170. 10м, 170Вт, 230В</t>
  </si>
  <si>
    <t>h0030002</t>
  </si>
  <si>
    <t>Кабель нагрівальний двожильний e.heat.cable.t.17.250. 15м, 250Вт, 230В</t>
  </si>
  <si>
    <t>h0030003</t>
  </si>
  <si>
    <t>Кабель нагрівальний двожильний e.heat.cable.t.17.350. 21м, 350Вт, 230В</t>
  </si>
  <si>
    <t>h0030004</t>
  </si>
  <si>
    <t>Кабель нагрівальний двожильний e.heat.cable.t.17.450. 27м, 450Вт, 230В</t>
  </si>
  <si>
    <t>h0030005</t>
  </si>
  <si>
    <t>Кабель нагрівальний двожильний e.heat.cable.t.17.600. 35м, 600Вт, 230В</t>
  </si>
  <si>
    <t>h0030006</t>
  </si>
  <si>
    <t>Кабель нагрівальний двожильний e.heat.cable.t.17.700. 41м, 700Вт, 230В</t>
  </si>
  <si>
    <t>h0030007</t>
  </si>
  <si>
    <t>Кабель нагрівальний двожильний e.heat.cable.t.17.900. 54м, 900Вт, 230В</t>
  </si>
  <si>
    <t>h0030008</t>
  </si>
  <si>
    <t>Кабель нагрівальний двожильний e.heat.cable.t.17.1100. 65м, 1100Вт, 230В</t>
  </si>
  <si>
    <t>h0030009</t>
  </si>
  <si>
    <t>Кабель нагрівальний двожильний e.heat.cable.t.17.1350. 79м, 1350Вт, 230В</t>
  </si>
  <si>
    <t>h0030010</t>
  </si>
  <si>
    <t>Кабель нагрівальний двожильний e.heat.cable.t.17.1450. 84м, 1450Вт, 230В</t>
  </si>
  <si>
    <t>h0030011</t>
  </si>
  <si>
    <t>Кабель нагрівальний двожильний e.heat.cable.t.17.1650. 96м, 1650Вт, 230В</t>
  </si>
  <si>
    <t>h0030012</t>
  </si>
  <si>
    <t>Кабель нагрівальний двожильний e.heat.cable.t.17.1900. 112м, 1900Вт, 230В</t>
  </si>
  <si>
    <t>h0030013</t>
  </si>
  <si>
    <t>Кабель нагрівальний двожильний e.heat.cable.t.17.2400. 141м, 2400Вт, 230В</t>
  </si>
  <si>
    <t>h0030014</t>
  </si>
  <si>
    <t>Кабель нагрівальний двожильний e.heat.cable.t.17.2900. 170м, 2900Вт, 230В</t>
  </si>
  <si>
    <t>h0030015</t>
  </si>
  <si>
    <t>Кабель нагрівальний двожильний e.heat.cable.t.17.3100. 183м, 3100Вт, 230В</t>
  </si>
  <si>
    <t>4.Кабель нагрівальний саморегульований САМРЕГ</t>
  </si>
  <si>
    <t>h12550070</t>
  </si>
  <si>
    <t>Кабель нагрівальний саморегульований 10Вт/м TESR-10-AO</t>
  </si>
  <si>
    <t>h12550071</t>
  </si>
  <si>
    <t>Кабель нагрівальний саморегульований 20Вт/м TESR-20-AO</t>
  </si>
  <si>
    <t>h12550072</t>
  </si>
  <si>
    <t>Кабель нагрівальний саморегульований 30Вт/м TESR-30-AO</t>
  </si>
  <si>
    <t>12550075</t>
  </si>
  <si>
    <t>Набір для підключення і кінцювання саморегулючих нагрівальних кабелів</t>
  </si>
  <si>
    <t>5.Терморегулятори</t>
  </si>
  <si>
    <t>12550160</t>
  </si>
  <si>
    <t>Датчик температури</t>
  </si>
  <si>
    <t>LTC230</t>
  </si>
  <si>
    <t>Терморегулятори LTC 230  MEX</t>
  </si>
  <si>
    <t>LTC730</t>
  </si>
  <si>
    <t>Терморегулятори LTC 730  PRO</t>
  </si>
  <si>
    <t>TCL-0311SF</t>
  </si>
  <si>
    <t>Терморегулятори TCL-03.11SF PRO</t>
  </si>
  <si>
    <t>6.Комплектуючі</t>
  </si>
  <si>
    <t>258450</t>
  </si>
  <si>
    <t>Перфострічка монтажна для М6 12мм ширина х 20м рулон х 0,50мм метал оц</t>
  </si>
  <si>
    <t>12550065</t>
  </si>
  <si>
    <t>Стрічка монтажна 20мм (10 м)</t>
  </si>
  <si>
    <t>12550067</t>
  </si>
  <si>
    <t>Стрічка монтажна 20мм (25 м)</t>
  </si>
  <si>
    <t>12550066</t>
  </si>
  <si>
    <t>Стрічка монтажна 20мм (5 м)</t>
  </si>
  <si>
    <t>7.Керамічні теплові панелі</t>
  </si>
  <si>
    <t>8.Плівка</t>
  </si>
  <si>
    <t>h00207</t>
  </si>
  <si>
    <t>Ізолятор - вініл</t>
  </si>
  <si>
    <t>h00205</t>
  </si>
  <si>
    <t>Плівка інфрачервона  CALEO-NВ50Т15-32С13 220 W220V</t>
  </si>
  <si>
    <t>м/п</t>
  </si>
  <si>
    <t>h00206</t>
  </si>
  <si>
    <t>Сполучна кліпса</t>
  </si>
  <si>
    <t>12.Перетворювачі частоти та пристрої плавного пуску</t>
  </si>
  <si>
    <t>1.Перетворювачі частоти F-DRIVE</t>
  </si>
  <si>
    <t>i0800001</t>
  </si>
  <si>
    <t>Перетворювач частотний e.f-drive.0R7.S   0,7кВт 1ф/220В</t>
  </si>
  <si>
    <t>i0800002</t>
  </si>
  <si>
    <t>Перетворювач частотний e.f-drive.1R5.S   1,5кВт 1ф/220В</t>
  </si>
  <si>
    <t>i0800028</t>
  </si>
  <si>
    <t>Перетворювач частотний e.f-drive.0R7   0,75кВт 3ф/380В</t>
  </si>
  <si>
    <t>i0800003</t>
  </si>
  <si>
    <t>Перетворювач частотний e.f-drive.1R5   1,5кВт 3ф/380В</t>
  </si>
  <si>
    <t>i0800004</t>
  </si>
  <si>
    <t>Перетворювач частотний e.f-drive.2R2   2,2кВт 3ф/380В</t>
  </si>
  <si>
    <t>i0800005</t>
  </si>
  <si>
    <t>Перетворювач частотний e.f-drive.4R0   4кВт 3ф/380В</t>
  </si>
  <si>
    <t>i0800006</t>
  </si>
  <si>
    <t>Перетворювач частотний e.f-drive.5R5   5,5кВт 3ф/380В</t>
  </si>
  <si>
    <t>i0800007</t>
  </si>
  <si>
    <t>Перетворювач частотний e.f-drive.7R5   7,5кВт 3ф/380В</t>
  </si>
  <si>
    <t>i0800009</t>
  </si>
  <si>
    <t>Перетворювач частотний e.f-drive.11  11кВт 3ф/380В</t>
  </si>
  <si>
    <t>i0800010</t>
  </si>
  <si>
    <t>Перетворювач частотний e.f-drive.15  15кВт 3ф/380В</t>
  </si>
  <si>
    <t>i0800011</t>
  </si>
  <si>
    <t>Перетворювач частотний e.f-drive.18  18,5кВт 3ф/380В</t>
  </si>
  <si>
    <t>i0800012</t>
  </si>
  <si>
    <t>Перетворювач частотний e.f-drive.22  22кВт 3ф/380В</t>
  </si>
  <si>
    <t>i0800013</t>
  </si>
  <si>
    <t>Перетворювач частотний e.f-drive.30  30кВт 3ф/380В</t>
  </si>
  <si>
    <t>i0800014</t>
  </si>
  <si>
    <t>Перетворювач частотний e.f-drive.37  37кВт 3ф/380В</t>
  </si>
  <si>
    <t>i0800015</t>
  </si>
  <si>
    <t>Перетворювач частотний e.f-drive.45  45кВт 3ф/380В</t>
  </si>
  <si>
    <t>i0800016</t>
  </si>
  <si>
    <t>Перетворювач частотний e.f-drive.55  55кВт 3ф/380В</t>
  </si>
  <si>
    <t>i0800017</t>
  </si>
  <si>
    <t>Перетворювач частотний e.f-drive.75  75кВт 3ф/380В</t>
  </si>
  <si>
    <t>i0800018</t>
  </si>
  <si>
    <t>Перетворювач частотний e.f-drive.90  90кВт 3ф/380В</t>
  </si>
  <si>
    <t>i0800019</t>
  </si>
  <si>
    <t>Перетворювач частотний e.f-drive.110  110кВт 3ф/380В</t>
  </si>
  <si>
    <t>i0800061</t>
  </si>
  <si>
    <t>Перетворювач частотний e.f-drive.0R7Sh 0,75кВт 1ф/220В</t>
  </si>
  <si>
    <t>i0800062</t>
  </si>
  <si>
    <t>Перетворювач частотний e.f-drive.1R5Sh 1,5кВт 1ф/220В</t>
  </si>
  <si>
    <t>i0800063</t>
  </si>
  <si>
    <t>Перетворювач частотний e.f-drive.0R7h 0,75кВт 3ф/380В</t>
  </si>
  <si>
    <t>i0800064</t>
  </si>
  <si>
    <t>Перетворювач частотний e.f-drive.1R5h 1,5кВт 3ф/380В</t>
  </si>
  <si>
    <t>i0800065</t>
  </si>
  <si>
    <t>Перетворювач частотний e.f-drive.2R2h 2,2кВт 3ф/380В</t>
  </si>
  <si>
    <t>i0800066</t>
  </si>
  <si>
    <t>Перетворювач частотний e.f-drive.4R0h 4кВт 3ф/380В</t>
  </si>
  <si>
    <t>i0800067</t>
  </si>
  <si>
    <t>Перетворювач частотний e.f-drive.5R5h 5,5кВт 3ф/380В</t>
  </si>
  <si>
    <t>i0800068</t>
  </si>
  <si>
    <t>Перетворювач частотний e.f-drive.7R5h 7,5кВт 3ф/380В</t>
  </si>
  <si>
    <t>i0800069</t>
  </si>
  <si>
    <t>Перетворювач частотний e.f-drive.30h 30кВт 3ф/380В</t>
  </si>
  <si>
    <t>i0800070</t>
  </si>
  <si>
    <t>Перетворювач частотний e.f-drive.75h 75кВт 3ф/380В</t>
  </si>
  <si>
    <t>i0800071</t>
  </si>
  <si>
    <t>Перетворювач частотний e.f-drive.90h 90кВт 3ф/380В</t>
  </si>
  <si>
    <t>i0800072</t>
  </si>
  <si>
    <t>Перетворювач частотний e.f-drive.7R5L 7,5кВт 3ф/380В</t>
  </si>
  <si>
    <t>i0800073</t>
  </si>
  <si>
    <t>Перетворювач частотний e.f-drive.11L 7,5кВт 3ф/380В</t>
  </si>
  <si>
    <t>2.Пристрої плавного пуску S-DRIVE</t>
  </si>
  <si>
    <t>i0800043</t>
  </si>
  <si>
    <t>Пристрій плавного пуску e.s-drive.110 115кВт 3ф/380В</t>
  </si>
  <si>
    <t>13.Блискавкозахист та заземлення</t>
  </si>
  <si>
    <t>1.Пристрої захисту від імпульсних перенапруг</t>
  </si>
  <si>
    <t>1.Розрядники серії E.INDUSTRIAL</t>
  </si>
  <si>
    <t>1.Розрядники, клас "В"</t>
  </si>
  <si>
    <t>i0330001</t>
  </si>
  <si>
    <t>Грозовий розрядник e.industrial.surge.spb.25.440, клас В</t>
  </si>
  <si>
    <t>i0330002</t>
  </si>
  <si>
    <t>Грозовий розрядник e.industrial.surge.spi.35.440, клас В</t>
  </si>
  <si>
    <t>i0330003</t>
  </si>
  <si>
    <t>Грозовий розрядник e.industrial.surge.spi.100.npe, клас В</t>
  </si>
  <si>
    <t>2.Розрядники, клас "С"</t>
  </si>
  <si>
    <t>i0340001</t>
  </si>
  <si>
    <t>Розрядник перенапруги e.industrial.surge.spc.s.20.280.1, клас С, 1р, 280В</t>
  </si>
  <si>
    <t>i0340005</t>
  </si>
  <si>
    <t>Розрядник перенапруги e.industrial.surge.spc.s.20.385.1, клас С, 1р, 385В</t>
  </si>
  <si>
    <t>i0340002</t>
  </si>
  <si>
    <t>Розрядник перенапруги e.industrial.surge.spc.s.20.280.2, клас С, 2р, 280В</t>
  </si>
  <si>
    <t>i0340006</t>
  </si>
  <si>
    <t>Розрядник перенапруги e.industrial.surge.spc.s.20.385.2, клас С, 2р, 385В</t>
  </si>
  <si>
    <t>i0340003</t>
  </si>
  <si>
    <t>Розрядник перенапруги e.industrial.surge.spc.s.20.280.3, клас С, 3р, 280В</t>
  </si>
  <si>
    <t>i0340007</t>
  </si>
  <si>
    <t>Розрядник перенапруги e.industrial.surge.spc.s.20.385.3, клас С, 3р, 385В</t>
  </si>
  <si>
    <t>i0340004</t>
  </si>
  <si>
    <t>Розрядник перенапруги e.industrial.surge.spc.s.20.280.4, клас С, 4р, 280В</t>
  </si>
  <si>
    <t>i0340008</t>
  </si>
  <si>
    <t>Розрядник перенапруги e.industrial.surge.spc.s.20.385.4, клас С, 4р, 385В</t>
  </si>
  <si>
    <t>i0340009</t>
  </si>
  <si>
    <t>Розрядник перенапруги e.industrial.surge.spc.s.3.1, клас С, 3р+1р</t>
  </si>
  <si>
    <t>3.Розрядники, клас "D"</t>
  </si>
  <si>
    <t>i0340010</t>
  </si>
  <si>
    <t>Розрядник перенапруги e.industrial.surge.spd.s.1.1, клас D, 1р+1р</t>
  </si>
  <si>
    <t>i0340012</t>
  </si>
  <si>
    <t>Розрядник перенапруги e.industrial.surge.spd.s.ln, клас D, LN</t>
  </si>
  <si>
    <t>i0340011</t>
  </si>
  <si>
    <t>Розрядник перенапруги e.industrial.surge.spd.s.npe, клас D, N/PE</t>
  </si>
  <si>
    <t>2.Розрядники KIWA</t>
  </si>
  <si>
    <t>81.200/05</t>
  </si>
  <si>
    <t>ПЗІП e.PO I 1 e 280V/7kA клас I+II+III, 1 полюс</t>
  </si>
  <si>
    <t>81.204/05</t>
  </si>
  <si>
    <t>ПЗІП  e.PO I 1+1 e 280V/7kA клас I+II+III, 1 полюс + N-PE, моноблок</t>
  </si>
  <si>
    <t>81.201/05</t>
  </si>
  <si>
    <t>ПЗІП e.PO I 3 e 280V/7kA клас I+II+III, 3 полюса</t>
  </si>
  <si>
    <t>81.206/05</t>
  </si>
  <si>
    <t>ПЗІП e.PO I 3+1 e 280V/7kA клас I+II+III, 3 полюса + N-PE, моноблок</t>
  </si>
  <si>
    <t>81.210/05</t>
  </si>
  <si>
    <t>ПЗІП e.PO I 4 e 280V/7kA клас I+II+III, 4 полюса</t>
  </si>
  <si>
    <t>81.001</t>
  </si>
  <si>
    <t>ПЗІП e.POI.1 280V/12,5kA клас I+II+III, 1 полюс</t>
  </si>
  <si>
    <t>81.031</t>
  </si>
  <si>
    <t>ПЗІП  e.POI.1+1m 280V/12,5kA клас I+II+III, 1 полюс + N-PE, моноблок</t>
  </si>
  <si>
    <t>81.003</t>
  </si>
  <si>
    <t>ПЗІП e.POI.3 280V/12,5kA клас I+II+III, 3 полюса</t>
  </si>
  <si>
    <t>81.027</t>
  </si>
  <si>
    <t>ПЗІП  e.POI.3+1m 280V/12,5kA клас I+II+III, 3 полюса + N-PE, моноблок</t>
  </si>
  <si>
    <t>81.004</t>
  </si>
  <si>
    <t>ПЗІП  e.POI.4 280V/12,5kA клас I+II+III, 4 полюса</t>
  </si>
  <si>
    <t>82.001</t>
  </si>
  <si>
    <t>ПЗІП e.POII.1 клас II+III, 1 полюс</t>
  </si>
  <si>
    <t>82.017</t>
  </si>
  <si>
    <t>ПЗІП  e.POII.1+1 клас II+III, 1 полюс + N-PE</t>
  </si>
  <si>
    <t>82.003</t>
  </si>
  <si>
    <t>ПЗІП  e.POII.3 клас II+III, 3 полюса</t>
  </si>
  <si>
    <t>82.018</t>
  </si>
  <si>
    <t>ПЗІП  e.POII.3+1 клас II+III, 3 полюса + N-PE</t>
  </si>
  <si>
    <t>82.004</t>
  </si>
  <si>
    <t>ПЗІП  e.POII.4 клас II+III, 4 полюса</t>
  </si>
  <si>
    <t>92.135/95</t>
  </si>
  <si>
    <t>Комбінований ПЗІП e.POD клас III + візуальна сигналізація спрацьовування, вбудовується в підрозетник</t>
  </si>
  <si>
    <t>92.133/95</t>
  </si>
  <si>
    <t>Комбінований ПЗІП  e.PODA клас III + звукова сигналізація спрацьовування, вбудовується в підрозетник</t>
  </si>
  <si>
    <t>82.009</t>
  </si>
  <si>
    <t>Комбінований ПЗІП  e.POII.3 LCF клас II+III, 3 полюса</t>
  </si>
  <si>
    <t>82.010</t>
  </si>
  <si>
    <t>Комбінований ПЗІП  e.POII.4 LCF клас II+III, 4 полюса</t>
  </si>
  <si>
    <t>81.150</t>
  </si>
  <si>
    <t>Комбінований ПЗІП e.POmI.1+1 LCF 50/25, клас I+II+III, 1 полюс + N-PE, моноблок</t>
  </si>
  <si>
    <t>81.132</t>
  </si>
  <si>
    <t>Комбінований ПЗІП e.POmI.3 LCF 90 клас I+II+III, 3 полюса, моноблок</t>
  </si>
  <si>
    <t>81.142</t>
  </si>
  <si>
    <t>Комбінований ПЗІП e.POmI.3+1 LCF 100/25, клас I+II+III, 3 полюса + N-PE, моноблок</t>
  </si>
  <si>
    <t>81.128</t>
  </si>
  <si>
    <t>Комбінований ПЗІП e.POmI.4 LCF 100 клас I+II+III, 4 полюса, моноблок</t>
  </si>
  <si>
    <t>92.024</t>
  </si>
  <si>
    <t>Комбінований ПЗІП e.RPOD клас III</t>
  </si>
  <si>
    <t>92.042</t>
  </si>
  <si>
    <t>Комбінований ПЗІП e.RPOD F 16 клас III + ВЧ фільтр</t>
  </si>
  <si>
    <t>3.Розрядники ASKO</t>
  </si>
  <si>
    <t>450230Y80</t>
  </si>
  <si>
    <t>Комбінований ПЗІП Pulsar 450 80 kA, 3p</t>
  </si>
  <si>
    <t>4.Розрядники OBO Bettermann</t>
  </si>
  <si>
    <t>5094418</t>
  </si>
  <si>
    <t>CombiController V25, 1-полюсна конструкція</t>
  </si>
  <si>
    <t>5094463</t>
  </si>
  <si>
    <t>CombiController V25, 3+1 конструкція</t>
  </si>
  <si>
    <t>5093724</t>
  </si>
  <si>
    <t>CombiController V50, Верхня частина</t>
  </si>
  <si>
    <t>5096849</t>
  </si>
  <si>
    <t>Блискавичник захисний координов. MCD50-B</t>
  </si>
  <si>
    <t>5094656</t>
  </si>
  <si>
    <t>Виснажник V20-C/3+NPE 280 В</t>
  </si>
  <si>
    <t>5094423</t>
  </si>
  <si>
    <t>Виснажник V25-B+C 3-полюсн 280 В</t>
  </si>
  <si>
    <t>5093380</t>
  </si>
  <si>
    <t>Виснажник Тип ІІ+III V10 Compact 255 В+зв/світлосигнал</t>
  </si>
  <si>
    <t>5096877</t>
  </si>
  <si>
    <t>Координов. LightningController, Набір для мереж TN-C</t>
  </si>
  <si>
    <t>5096879</t>
  </si>
  <si>
    <t>Координов. LightningController, Набір для мереж TT та TNS</t>
  </si>
  <si>
    <t>5093627</t>
  </si>
  <si>
    <t>ПЗІП Тип 1+2  V50-B+C 3-280</t>
  </si>
  <si>
    <t>5093654</t>
  </si>
  <si>
    <t>ПЗІП Тип 1+2 V50 3-полюсн.+NPE 280 В</t>
  </si>
  <si>
    <t>5083400</t>
  </si>
  <si>
    <t>Пристр. зах. ліній перед. дан., для антенних пристроїв</t>
  </si>
  <si>
    <t>5081800</t>
  </si>
  <si>
    <t>Протиімпульсний бар єр, швидкісних мереж</t>
  </si>
  <si>
    <t>5240085</t>
  </si>
  <si>
    <t>Роздільний струмовий розрядник</t>
  </si>
  <si>
    <t>5096865</t>
  </si>
  <si>
    <t>Розр-к повітр. координ. нейтралі MCD125-B/NPE</t>
  </si>
  <si>
    <t>2.Елементи зовнішнього блискавкозахисту</t>
  </si>
  <si>
    <t>1.Елементи зовнішнього блискавкозахисту OBO Bettermann</t>
  </si>
  <si>
    <t>5094457</t>
  </si>
  <si>
    <t>CombiController V25, 1+1  конструкція</t>
  </si>
  <si>
    <t>5403227</t>
  </si>
  <si>
    <t>Базова стійка для FangFix</t>
  </si>
  <si>
    <t>5336503</t>
  </si>
  <si>
    <t>Биметаллическая разделительная вставка d 8-10 и FL 30 мм.</t>
  </si>
  <si>
    <t>5401980</t>
  </si>
  <si>
    <t>Бл-приймач під FangFix 1500 мм, алюм.</t>
  </si>
  <si>
    <t>5401983</t>
  </si>
  <si>
    <t>Бл-приймач під FangFix 2000 мм, алюм.</t>
  </si>
  <si>
    <t>5401986</t>
  </si>
  <si>
    <t>Бл-приймач під FangFix 2500 мм, алюм.</t>
  </si>
  <si>
    <t>5401989</t>
  </si>
  <si>
    <t>Бл-приймач під FangFix 3000 мм, алюм.</t>
  </si>
  <si>
    <t>5401993</t>
  </si>
  <si>
    <t>Бл-приймач трубч. під FangFix 3500 мм, алюм.</t>
  </si>
  <si>
    <t>5401995</t>
  </si>
  <si>
    <t>Бл-приймач трубч. під FangFix 4000 мм, алюм.</t>
  </si>
  <si>
    <t>5207371</t>
  </si>
  <si>
    <t>Виступаюча частина, для тримача дроту 177/VA</t>
  </si>
  <si>
    <t>5335205</t>
  </si>
  <si>
    <t>Елемент відокремлення</t>
  </si>
  <si>
    <t>5335140</t>
  </si>
  <si>
    <t>Елемент відокремлення відкритий 223 O DIN ZN</t>
  </si>
  <si>
    <t>5336341</t>
  </si>
  <si>
    <t>Елемент відокремлювання нерж.</t>
  </si>
  <si>
    <t>5336007</t>
  </si>
  <si>
    <t>Елемент відокремлювання оц.</t>
  </si>
  <si>
    <t>5336309</t>
  </si>
  <si>
    <t>5336074</t>
  </si>
  <si>
    <t>Елемент відокремлювання,двометалевий</t>
  </si>
  <si>
    <t>5336376</t>
  </si>
  <si>
    <t>Елемент відокремлювання,двометалевий з'еднувач</t>
  </si>
  <si>
    <t>5316154</t>
  </si>
  <si>
    <t>Зажим для водостічного жолоба, мідний</t>
  </si>
  <si>
    <t>5326303</t>
  </si>
  <si>
    <t>Затискач Rd 8-10 до штаби оц.</t>
  </si>
  <si>
    <t>5328209</t>
  </si>
  <si>
    <t>З'єднувальна муфта</t>
  </si>
  <si>
    <t>5336457</t>
  </si>
  <si>
    <t>Злучник Rd 8-10/штаба FL 30-40 нерж.</t>
  </si>
  <si>
    <t>5311705</t>
  </si>
  <si>
    <t>Злучник проводу Rd 8-10 VARIO (уп.100шт.)</t>
  </si>
  <si>
    <t>5336058</t>
  </si>
  <si>
    <t>Злучник проводу RD16/Rd8-10 нержст.</t>
  </si>
  <si>
    <t>5091322</t>
  </si>
  <si>
    <t>Картка запису струму блискавки та затискач</t>
  </si>
  <si>
    <t>5316014</t>
  </si>
  <si>
    <t>Клема жолоба оц.</t>
  </si>
  <si>
    <t>5316170</t>
  </si>
  <si>
    <t>Клема жолоба, двометалева</t>
  </si>
  <si>
    <t>5326311</t>
  </si>
  <si>
    <t>Клемний затискувач, з болтом</t>
  </si>
  <si>
    <t>5218926</t>
  </si>
  <si>
    <t>Компенсатор</t>
  </si>
  <si>
    <t>5312809</t>
  </si>
  <si>
    <t>Крестовий з'єднувач</t>
  </si>
  <si>
    <t>5021286</t>
  </si>
  <si>
    <t>Круглий провідник, алюміній</t>
  </si>
  <si>
    <t>5202515</t>
  </si>
  <si>
    <t>Покрівельний тримач дроту</t>
  </si>
  <si>
    <t>5215544</t>
  </si>
  <si>
    <t>5202833</t>
  </si>
  <si>
    <t>Покрівельний тримач дроту  для коникової черепиці</t>
  </si>
  <si>
    <t>5216192</t>
  </si>
  <si>
    <t>5216818</t>
  </si>
  <si>
    <t>5218861</t>
  </si>
  <si>
    <t>Покрівельний тримач дроту, для заповнення бетоном</t>
  </si>
  <si>
    <t>5202868</t>
  </si>
  <si>
    <t>Покрівельний тримач дроту, для коникової черепиці</t>
  </si>
  <si>
    <t>5218691</t>
  </si>
  <si>
    <t>Покрівельний тримач дроту, для плоских дахів</t>
  </si>
  <si>
    <t>5216257</t>
  </si>
  <si>
    <t>5316510</t>
  </si>
  <si>
    <t>Приєднувач утрим. снігу 264 FT (40-60 мкм)</t>
  </si>
  <si>
    <t>5021103</t>
  </si>
  <si>
    <t>Провід круглий 10 ммгарячого цінкування 80 м в бухті</t>
  </si>
  <si>
    <t>5021081</t>
  </si>
  <si>
    <t>Провід круглий 8 мм гарячого цинкування 125м в бухті</t>
  </si>
  <si>
    <t>5408806</t>
  </si>
  <si>
    <t>Розпірка ISO, з кріпленням</t>
  </si>
  <si>
    <t>5403103</t>
  </si>
  <si>
    <t>Система FangFix,Повна система</t>
  </si>
  <si>
    <t>5403200</t>
  </si>
  <si>
    <t>5405068</t>
  </si>
  <si>
    <t>Струмоприймач</t>
  </si>
  <si>
    <t>5316219</t>
  </si>
  <si>
    <t>Тримач Rd 8-10 за риншток гар-цинков.</t>
  </si>
  <si>
    <t>5217075</t>
  </si>
  <si>
    <t>Тримач Rd8-10 з зачепом на даху 177/VA нерж.</t>
  </si>
  <si>
    <t>5218997</t>
  </si>
  <si>
    <t>Тримач Rd8-10 на пласкому даху, з морозостійким бетоном</t>
  </si>
  <si>
    <t>5412609</t>
  </si>
  <si>
    <t>Тримач б/приймача 16 мм оц.</t>
  </si>
  <si>
    <t>5230217</t>
  </si>
  <si>
    <t>Тримач дроту</t>
  </si>
  <si>
    <t>5207800</t>
  </si>
  <si>
    <t>5207460</t>
  </si>
  <si>
    <t>5207487</t>
  </si>
  <si>
    <t>5207754</t>
  </si>
  <si>
    <t>Тримач дроту, колір міді</t>
  </si>
  <si>
    <t>5207746</t>
  </si>
  <si>
    <t>5207444</t>
  </si>
  <si>
    <t>Тримач проводу Rd 8/10 цоколь 20 мм/M8 сірий пластик</t>
  </si>
  <si>
    <t>5207339</t>
  </si>
  <si>
    <t>Тримач проводу Rd 8-10 М6 нерж.</t>
  </si>
  <si>
    <t>5229960</t>
  </si>
  <si>
    <t>Тримач проводу Rd8-10 М8 з хомутом цинк. сплав</t>
  </si>
  <si>
    <t>5215552</t>
  </si>
  <si>
    <t>Тримач проводу на даху L=230 мм нержст.</t>
  </si>
  <si>
    <t>5215579</t>
  </si>
  <si>
    <t>Тримач проводу на даху L=280 мл  нерж.сталі</t>
  </si>
  <si>
    <t>5317207</t>
  </si>
  <si>
    <t>Фальцева клема</t>
  </si>
  <si>
    <t>5317010</t>
  </si>
  <si>
    <t>5350867</t>
  </si>
  <si>
    <t>Хомут контакт.водост.труби 90-130 мм; FS</t>
  </si>
  <si>
    <t>5350883</t>
  </si>
  <si>
    <t>Хомут тримач на водостічній трубі - регульований, мідний</t>
  </si>
  <si>
    <t>5350905</t>
  </si>
  <si>
    <t>Хомутик водоспусків, , що піддається регулюванню</t>
  </si>
  <si>
    <t>5312035</t>
  </si>
  <si>
    <t>Хрестовий з'єднувач</t>
  </si>
  <si>
    <t>5311519</t>
  </si>
  <si>
    <t>Швидкий з'єднувач  Rd 8-10 VARIO алюм.</t>
  </si>
  <si>
    <t>5311535</t>
  </si>
  <si>
    <t>Швидкий з'єднувач  Rd 8-10 VARIO біметал</t>
  </si>
  <si>
    <t>5311527</t>
  </si>
  <si>
    <t>Швидкий з'єднувач  Rd 8-10 VARIO мідь</t>
  </si>
  <si>
    <t>5311551</t>
  </si>
  <si>
    <t>Швидкий з'єднувач  Rd 8-10 VARIO нерж.</t>
  </si>
  <si>
    <t>5311500</t>
  </si>
  <si>
    <t>Швидкий з'єднувач  Rd 8-10 VARIO оц.</t>
  </si>
  <si>
    <t>2.Елементи зовнішнього блискавкозахисту E.NEXT</t>
  </si>
  <si>
    <t>z0020012</t>
  </si>
  <si>
    <t>Дріт АТ 9,5 мм алюмін. (ед. изм - гр, кг, м)</t>
  </si>
  <si>
    <t>z0020219</t>
  </si>
  <si>
    <t>Дріт МТ 8 мм мідний (ед. изм - гр, кг, м)</t>
  </si>
  <si>
    <t>z0020025</t>
  </si>
  <si>
    <t>Блискавкоприймальна щогла 5м</t>
  </si>
  <si>
    <t>z0020026</t>
  </si>
  <si>
    <t>Блискавкоприймальна щогла 6м</t>
  </si>
  <si>
    <t>z0020027</t>
  </si>
  <si>
    <t>Блискавкоприймальна щогла 7м</t>
  </si>
  <si>
    <t>z0020028</t>
  </si>
  <si>
    <t>Блискавкоприймальна щогла 8м</t>
  </si>
  <si>
    <t>z0020029</t>
  </si>
  <si>
    <t>Блискавкоприймальна щогла 9м</t>
  </si>
  <si>
    <t>z0020030</t>
  </si>
  <si>
    <t>Блискавкоприймальна щогла 10м</t>
  </si>
  <si>
    <t>z0020220</t>
  </si>
  <si>
    <t>Блискавкоприймач на потрійній бетонній основі d40 (H=5000)</t>
  </si>
  <si>
    <t>z0020221</t>
  </si>
  <si>
    <t>Блискавкоприймач на потрійній бетонній основі d40 (H=6000)</t>
  </si>
  <si>
    <t>z0020222</t>
  </si>
  <si>
    <t>Блискавкоприймач на потрійній бетонній основі d40 (H=7000)</t>
  </si>
  <si>
    <t>z0020223</t>
  </si>
  <si>
    <t>Блискавкоприймач на потрійній бетонній основі d40 (H=8000)</t>
  </si>
  <si>
    <t>z0020015</t>
  </si>
  <si>
    <t>Блискавкоприймач по прямому гребню L 1000</t>
  </si>
  <si>
    <t>z0020014</t>
  </si>
  <si>
    <t>Блискавкоприймач по скругленому гребню L 1000</t>
  </si>
  <si>
    <t>z0010016</t>
  </si>
  <si>
    <t>Затискач кутовий D16</t>
  </si>
  <si>
    <t>z002001</t>
  </si>
  <si>
    <t>Затискач Vario</t>
  </si>
  <si>
    <t>C02/2 ST</t>
  </si>
  <si>
    <t>Затискач хрестовий Cross для полоси</t>
  </si>
  <si>
    <t>z0020008</t>
  </si>
  <si>
    <t>АТ 8 дріт алюмін.</t>
  </si>
  <si>
    <t>z0020218</t>
  </si>
  <si>
    <t>Дріт АТ 8 мм алюмін. (ед. изм - гр, кг, м)</t>
  </si>
  <si>
    <t>z0020009</t>
  </si>
  <si>
    <t>АТ 9,5  дріт алюмін.</t>
  </si>
  <si>
    <t>кг</t>
  </si>
  <si>
    <t>z0010008</t>
  </si>
  <si>
    <t>Катанка(провід) мідна МТ-8</t>
  </si>
  <si>
    <t>z0020017</t>
  </si>
  <si>
    <t>Тримач дроту Niro</t>
  </si>
  <si>
    <t>z0020199</t>
  </si>
  <si>
    <t>Тримач коньковий прямий нержавіючий</t>
  </si>
  <si>
    <t>z0020198</t>
  </si>
  <si>
    <t>Тримач під черепицю L=300мм</t>
  </si>
  <si>
    <t>z0020200</t>
  </si>
  <si>
    <t>Тримач щогли D16</t>
  </si>
  <si>
    <t>z0020201</t>
  </si>
  <si>
    <t>Тримач щогли D16 з основою L300</t>
  </si>
  <si>
    <t>z0020010</t>
  </si>
  <si>
    <t>Тримач щогли D 32-40,  основа L 300</t>
  </si>
  <si>
    <t>z0020011</t>
  </si>
  <si>
    <t>Тримач щогли D 32-40,  основа L 700</t>
  </si>
  <si>
    <t>z0020006</t>
  </si>
  <si>
    <t>Тримач за ринву</t>
  </si>
  <si>
    <t>z0020007</t>
  </si>
  <si>
    <t>Універсальний хомут водосточної труби 60-120 мм, нерж. сталь</t>
  </si>
  <si>
    <t>3.Елементи заземлення</t>
  </si>
  <si>
    <t>1. Заземлення OBO Bettermann</t>
  </si>
  <si>
    <t>3041212</t>
  </si>
  <si>
    <t>Бойок шпильки заземления ST, ВР 20мм</t>
  </si>
  <si>
    <t>5057523</t>
  </si>
  <si>
    <t>Горизонт. з'єдн. для заземл.</t>
  </si>
  <si>
    <t>5320712</t>
  </si>
  <si>
    <t>Планка мостова</t>
  </si>
  <si>
    <t>5313015</t>
  </si>
  <si>
    <t>З'єднувач діагональний FT 6-22мм</t>
  </si>
  <si>
    <t>5001641</t>
  </si>
  <si>
    <t>Злучник Rd8-10, штаби до шп. уземл. D=20 мм оц.</t>
  </si>
  <si>
    <t>5314658</t>
  </si>
  <si>
    <t>Злучник хрестов. штаби 30 мм</t>
  </si>
  <si>
    <t>5314666</t>
  </si>
  <si>
    <t>Злучник хрестов. штаби 40 мм</t>
  </si>
  <si>
    <t>5057930</t>
  </si>
  <si>
    <t>Корпус хомута, повністю за типом 927/1 V2</t>
  </si>
  <si>
    <t>3041204</t>
  </si>
  <si>
    <t>Насадка нижня 20мм</t>
  </si>
  <si>
    <t>5019345</t>
  </si>
  <si>
    <t>Провод плоский 30х3,5мм оц. 70мкм (бухта - 30м)</t>
  </si>
  <si>
    <t>5019355</t>
  </si>
  <si>
    <t>Провод плаский 40х4 оц. 70 мкм, (бухта 40м)</t>
  </si>
  <si>
    <t>5032032</t>
  </si>
  <si>
    <t>Розпірний хомут, для листової сталі</t>
  </si>
  <si>
    <t>2360055</t>
  </si>
  <si>
    <t>Стрічка гідроізол. заземлення х/б пропит. оливою</t>
  </si>
  <si>
    <t>5057922</t>
  </si>
  <si>
    <t>Стрічка з'єдн. заземлення</t>
  </si>
  <si>
    <t>5032040</t>
  </si>
  <si>
    <t>Тримач дроту, для листової сталі</t>
  </si>
  <si>
    <t>5230322</t>
  </si>
  <si>
    <t>Тримач дроту, з дерев'яними   болтами</t>
  </si>
  <si>
    <t>3044904</t>
  </si>
  <si>
    <t>Ударна голівка під перфоратор</t>
  </si>
  <si>
    <t>3042200</t>
  </si>
  <si>
    <t>Ударна насадка для шпильки заземлення 20 мм</t>
  </si>
  <si>
    <t>5050111</t>
  </si>
  <si>
    <t>Хомут заземлювання, для круглих провідників</t>
  </si>
  <si>
    <t>5050138</t>
  </si>
  <si>
    <t>5050073</t>
  </si>
  <si>
    <t>5050197</t>
  </si>
  <si>
    <t>5050081</t>
  </si>
  <si>
    <t>5050057</t>
  </si>
  <si>
    <t>5015650</t>
  </si>
  <si>
    <t>Шина зрівнюван. потенц. 7х2,5-25; 2х25-96; 1 плоск.</t>
  </si>
  <si>
    <t>5015111</t>
  </si>
  <si>
    <t>Шина зрівнюван.потенц. для зовнішнього монтажу</t>
  </si>
  <si>
    <t>5015073</t>
  </si>
  <si>
    <t>Шина зрівнювання потенціалів</t>
  </si>
  <si>
    <t>5015081</t>
  </si>
  <si>
    <t>Шина зрівнювання потенціалів, з металевою ніжкою</t>
  </si>
  <si>
    <t>5015545</t>
  </si>
  <si>
    <t>Шина зрівнювання потенціалів, у коробці для прихов. проводки</t>
  </si>
  <si>
    <t>5000750</t>
  </si>
  <si>
    <t>Шпилька заземления STANDART 20мм х 1,5м горячеоц.</t>
  </si>
  <si>
    <t>2. Заземлення E.NEXT</t>
  </si>
  <si>
    <t>1.Заземлення E.NEXT оцинкована сталь</t>
  </si>
  <si>
    <t>z7542001</t>
  </si>
  <si>
    <t>Шпилька заземлення заклепувальна D20(L=1500)</t>
  </si>
  <si>
    <t>z0010001</t>
  </si>
  <si>
    <t>Гвинт ударний 16 мм</t>
  </si>
  <si>
    <t>z0010221</t>
  </si>
  <si>
    <t>Гвинт ударний 16 мм  2.1</t>
  </si>
  <si>
    <t>z0010012</t>
  </si>
  <si>
    <t>Затискач контрольний Contra (2 пластини)</t>
  </si>
  <si>
    <t>z0010010</t>
  </si>
  <si>
    <t>Затискач кутовий D20</t>
  </si>
  <si>
    <t>z0010009</t>
  </si>
  <si>
    <t>Затискач хрестовий</t>
  </si>
  <si>
    <t>z0010003</t>
  </si>
  <si>
    <t>Клема з'єднувальна 8-10\16\30 мм</t>
  </si>
  <si>
    <t>z0010005</t>
  </si>
  <si>
    <t>Муфта з'єднувальна 16 мм</t>
  </si>
  <si>
    <t>z0010017</t>
  </si>
  <si>
    <t>Муфта подовжена 16 мм</t>
  </si>
  <si>
    <t>z0010024</t>
  </si>
  <si>
    <t>Наконечник D16</t>
  </si>
  <si>
    <t>z0010015</t>
  </si>
  <si>
    <t>Наконечник D20</t>
  </si>
  <si>
    <t>z0010004</t>
  </si>
  <si>
    <t>Наконечник стрижня різьбового 16 мм</t>
  </si>
  <si>
    <t>z0011200</t>
  </si>
  <si>
    <t>Насадка на вібромолот составна</t>
  </si>
  <si>
    <t>z0011202</t>
  </si>
  <si>
    <t>Насадка на кувалду</t>
  </si>
  <si>
    <t>z0010018</t>
  </si>
  <si>
    <t>Провід плоский 40х4,0мм оцинкований</t>
  </si>
  <si>
    <t>z0010022</t>
  </si>
  <si>
    <t>Стрижень заземлення 16/1500 мм, оцинк.</t>
  </si>
  <si>
    <t>z0010002</t>
  </si>
  <si>
    <t>Стрижень заземлення 16/1500 мм, оцинк.V</t>
  </si>
  <si>
    <t>z0010023</t>
  </si>
  <si>
    <t>Стрижень заземлення кінцевий 16/1500 мм, оцинк.I</t>
  </si>
  <si>
    <t>z0010400</t>
  </si>
  <si>
    <t>Тримач дроту</t>
  </si>
  <si>
    <t>z0010298</t>
  </si>
  <si>
    <t>Тримач полоси</t>
  </si>
  <si>
    <t>z0011190</t>
  </si>
  <si>
    <t>Хвостовик SDS MAX універсальний для стрижня 16мм різ.</t>
  </si>
  <si>
    <t>14.Прилади обліку та контролю</t>
  </si>
  <si>
    <t>Аксесуари до лічильників</t>
  </si>
  <si>
    <t>nik3489</t>
  </si>
  <si>
    <t>Комутаційна колодка НІК-КП125</t>
  </si>
  <si>
    <t>nik3467</t>
  </si>
  <si>
    <t>Комутаційна колодка НІК-КП25</t>
  </si>
  <si>
    <t>nik4461</t>
  </si>
  <si>
    <t>Контроллер KS-02-06</t>
  </si>
  <si>
    <t>nik6784</t>
  </si>
  <si>
    <t>Контроллер KК-01-10</t>
  </si>
  <si>
    <t>nik3912</t>
  </si>
  <si>
    <t>Ящик для 1фазного лічильника е/е DOT.1 NEW</t>
  </si>
  <si>
    <t>nik7945</t>
  </si>
  <si>
    <t>Ящик для лічильника електричної енергії  DOT.3  NEW</t>
  </si>
  <si>
    <t>nik4442</t>
  </si>
  <si>
    <t>Ящик універсальний до однофазного і трифазного лічильника е/е DOT3.1</t>
  </si>
  <si>
    <t>nik2364</t>
  </si>
  <si>
    <t>Ящик універсальний до однофазного і трифазного лічильника е/е DOT3.1випуклий</t>
  </si>
  <si>
    <t>Амперметри/Вольтметри</t>
  </si>
  <si>
    <t>s066003</t>
  </si>
  <si>
    <t>Амперметр щитовий e.meter72.a.body АС X/5A трансформаторне вмикання 72х72мм</t>
  </si>
  <si>
    <t>s066002</t>
  </si>
  <si>
    <t>Амперметр щитовий e.meter72.a100.dir АС 100A пряме вмикання 72х72мм</t>
  </si>
  <si>
    <t>s066011</t>
  </si>
  <si>
    <t>Шкала до амперметра щитового e.meter72.a100.scale АС 100А 72х72мм</t>
  </si>
  <si>
    <t>s066008</t>
  </si>
  <si>
    <t>Шкала до амперметра щитового e.meter72.a1000.scale АС 1000А 72х72мм</t>
  </si>
  <si>
    <t>s066009</t>
  </si>
  <si>
    <t>Шкала до амперметра щитового e.meter72.a1500.scale АС 1500А 72х72мм</t>
  </si>
  <si>
    <t>s066004</t>
  </si>
  <si>
    <t>Шкала до амперметра щитового e.meter72.a200.scale АС 200А 72х72мм</t>
  </si>
  <si>
    <t>s066005</t>
  </si>
  <si>
    <t>Шкала до амперметра щитового e.meter72.a300.scale АС 300А 72х72мм</t>
  </si>
  <si>
    <t>s066006</t>
  </si>
  <si>
    <t>Шкала до амперметра щитового e.meter72.a400.scale АС 400А 72х72мм</t>
  </si>
  <si>
    <t>s066010</t>
  </si>
  <si>
    <t>Шкала до амперметра щитового e.meter72.a50.scale АС 50А 72х72мм</t>
  </si>
  <si>
    <t>s066007</t>
  </si>
  <si>
    <t>Шкала до амперметра щитового e.meter72.a600.scale АС 600А 72х72мм</t>
  </si>
  <si>
    <t>s066001</t>
  </si>
  <si>
    <t>Вольтметр щитовий e.meter72.v500.dir АС 500В пряме вмикання 72х72мм</t>
  </si>
  <si>
    <t>s065003</t>
  </si>
  <si>
    <t>Трансформатор струму e.trans.1000.split 1000/5А клас 1.0 з роз'ємним магнітпроводом</t>
  </si>
  <si>
    <t>s065004</t>
  </si>
  <si>
    <t>Трансформатор струму e.trans.1500.split 1500/5А клас 1.0 з роз'ємним магнітпроводом</t>
  </si>
  <si>
    <t>s065001</t>
  </si>
  <si>
    <t>Трансформатор струму e.trans.400.split 400/5А клас 1.0 з роз'ємним магнітпроводом</t>
  </si>
  <si>
    <t>s065002</t>
  </si>
  <si>
    <t>Трансформатор струму e.trans.600.split 600/5А клас 1.0 з роз'ємним магнітпроводом</t>
  </si>
  <si>
    <t>Лічильники активної та реактивної енергии двонаправлені ЖКІ</t>
  </si>
  <si>
    <t>nik6392</t>
  </si>
  <si>
    <t>Лічильник NIK 2303 AP6T.1000.C.11</t>
  </si>
  <si>
    <t>nik1774</t>
  </si>
  <si>
    <t>Лічильник NIK 2303 AP6T.1000.0.11</t>
  </si>
  <si>
    <t>nik7675</t>
  </si>
  <si>
    <t>Лічильник NIK 2303 ARP3.1000.M.11 (НІК 2303L АРП3 1000 МE)</t>
  </si>
  <si>
    <t>nik7726</t>
  </si>
  <si>
    <t>Лічильник NIK 2303 ARP3T.1000.M.11</t>
  </si>
  <si>
    <t>nik2449</t>
  </si>
  <si>
    <t>Лічильник NIK 2303 ARP6T.1000.M.11 (Лічильник НІК 2303L АРП2Т 1000 МE)</t>
  </si>
  <si>
    <t>nik7538</t>
  </si>
  <si>
    <t>Лічильник NIK 2303 ARP6T.1802.MC.11</t>
  </si>
  <si>
    <t>nik8057</t>
  </si>
  <si>
    <t>Лічильник NІК 2303 АRT.1000.М.11</t>
  </si>
  <si>
    <t>nik1315</t>
  </si>
  <si>
    <t>Лічильник НІК 2303 АРП1 1100</t>
  </si>
  <si>
    <t>nik3352</t>
  </si>
  <si>
    <t>Лічильник НІК 2303L АРП2 1000 МE</t>
  </si>
  <si>
    <t>nik3757</t>
  </si>
  <si>
    <t>Лічильник НІК 2303L АРП2Т 1000 МE</t>
  </si>
  <si>
    <t>nik2985</t>
  </si>
  <si>
    <t>Лічильник трифазний з ж/к екраном НІК 2303 АРК1 1100 3х220/380В, комбінованого включення 5(10) А</t>
  </si>
  <si>
    <t>nik6693</t>
  </si>
  <si>
    <t>Лічильник трифазний з ж/к екраном НІК 2303 АРК1 1100 MC 3х220/380В, комбінованого включення 5(10) А, з захистом від магнітних та радіозавад.</t>
  </si>
  <si>
    <t>nik3767</t>
  </si>
  <si>
    <t>Трифазний лічильник НІК 2303 АРК1 1120 3х220/380В 5(10)А) CL+RS485</t>
  </si>
  <si>
    <t>nik2890</t>
  </si>
  <si>
    <t>Лічильник трифазний з ж/к екраном НІК 2303 АРП1 1100 3х220/380В прямого включення 5(100)А</t>
  </si>
  <si>
    <t>nik6692</t>
  </si>
  <si>
    <t>Лічильник трифазний з ж/к екраном НІК 2303 АРП1 1100 MC 3х220/380В прямого включення 5(100)А, з захистом від магнітних та радіозавад.</t>
  </si>
  <si>
    <t>nik3782</t>
  </si>
  <si>
    <t>Лічильник трифазний з ж/к екраном НІК 2303 АРП1 1120 3х220/380В 5(100)А прямого включення 5(100)А</t>
  </si>
  <si>
    <t>nik8450</t>
  </si>
  <si>
    <t>Лічильник трифазний з ж/к екраном НІК 2303 АРП1 1120 MC 3х220/380В прямого включення 5(100)А, з захистом від магнітних та радіозавад.</t>
  </si>
  <si>
    <t>nik3565</t>
  </si>
  <si>
    <t>Лічильник трифазний з ж/к екраном НІК 2303 АРП1 1140 3х220/380В прямого включення 5(100)А</t>
  </si>
  <si>
    <t>nik3168</t>
  </si>
  <si>
    <t>Лічильник трифазний з ж/к екраном НІК 2303 АРП2 1100 3х220/380 прямого включення 5(60)А</t>
  </si>
  <si>
    <t>nik3109</t>
  </si>
  <si>
    <t>Лічильник трифазний з ж/к екраном НІК 2303 АРП3 1100 3х220/380В прямого включення 5(120)А</t>
  </si>
  <si>
    <t>nik4091</t>
  </si>
  <si>
    <t>Лічильник трифазний з ж/к екраном НІК 2303 АРП3 1120 3х220/380В прямого включення 5(120)А</t>
  </si>
  <si>
    <t>nik3110</t>
  </si>
  <si>
    <t>Лічильник трифазний з ж/к екраном НІК 2303 АРТ1 1100 3х100В трансформаторного включення 5(10)А</t>
  </si>
  <si>
    <t>nik3351</t>
  </si>
  <si>
    <t>Лічильник трифазний з ж/к екраном НІК 2303L АРК1 1000 МE 3х220/380В, комбінованого включення 5(10) А</t>
  </si>
  <si>
    <t>nik12863</t>
  </si>
  <si>
    <t>Лічильник трифазний з ж/к екраном НІК 2303L АРП1 1000 МE 3х220/380В прямого включення 5(100)А</t>
  </si>
  <si>
    <t>nik7006</t>
  </si>
  <si>
    <t>Лічильник трифазний з ж/к екраном НІК 2303L АРП3 1000 МE 3х220/380В прямого включення 5(120)А</t>
  </si>
  <si>
    <t>Лічильники активної та реактивної енергії двонаправлені, багатотарифні ЖКІ</t>
  </si>
  <si>
    <t>nik8061</t>
  </si>
  <si>
    <t>Лічильник NIK 2303 ARТT.1000.M.11 ( (НІК 2303 L АРК1Т 1000  ME)</t>
  </si>
  <si>
    <t>nik31720</t>
  </si>
  <si>
    <t>Лічильник НІК 2303L АРП1Т 1000 МE</t>
  </si>
  <si>
    <t>nik7007</t>
  </si>
  <si>
    <t>Лічильник НІК 2303L АРП3Т 1000 МE</t>
  </si>
  <si>
    <t>nik3756</t>
  </si>
  <si>
    <t>НІК 2303 L АРК1Т 1000  ME</t>
  </si>
  <si>
    <t>nik3130</t>
  </si>
  <si>
    <t>Трифазний лічильник НІК 2303 АРК1Т 1100</t>
  </si>
  <si>
    <t>nik3130mc</t>
  </si>
  <si>
    <t>Трифазний лічильник НІК 2303 АРК1Т 1100 MC</t>
  </si>
  <si>
    <t>nik2895</t>
  </si>
  <si>
    <t>Трифазний лічильник НІК 2303 АРК1Т 1120</t>
  </si>
  <si>
    <t>nik3170</t>
  </si>
  <si>
    <t>Трифазний лічильник НІК 2303 АРК1Т 1121</t>
  </si>
  <si>
    <t>nik3397</t>
  </si>
  <si>
    <t>Трифазний лічильник НІК 2303 АРП1Т 1100</t>
  </si>
  <si>
    <t>nik3172</t>
  </si>
  <si>
    <t>Трифазний лічильник НІК 2303 АРП1Т 1120</t>
  </si>
  <si>
    <t>nik3171</t>
  </si>
  <si>
    <t>Трифазний лічильник НІК 2303 АРП1Т 1121</t>
  </si>
  <si>
    <t>nik3907</t>
  </si>
  <si>
    <t>Трифазний лічильник НІК 2303 АРП2Т 1100 3х220/380В 5(60)А</t>
  </si>
  <si>
    <t>nik3941</t>
  </si>
  <si>
    <t>Трифазний лічильник НІК 2303 АРП3Т 1100 3х220/380В 5(120)А</t>
  </si>
  <si>
    <t>nik4734</t>
  </si>
  <si>
    <t>Трифазний лічильник НІК 2303 АРТ1Т 1100 3х220/380В 5(10)А</t>
  </si>
  <si>
    <t>nik3607</t>
  </si>
  <si>
    <t>Трифазний лічильник НІК 2303 АРТ2Т 1121 3х220/380В 5(10)А CL+RS485</t>
  </si>
  <si>
    <t>Лічильники однофазні побутові</t>
  </si>
  <si>
    <t>nik5599</t>
  </si>
  <si>
    <t>Лічильник НІК 2102-01.E2МСТР1</t>
  </si>
  <si>
    <t>nik10607</t>
  </si>
  <si>
    <t>Лічильник НІК 2102-01.Е2МСТ</t>
  </si>
  <si>
    <t>nik6364</t>
  </si>
  <si>
    <t>Лічильник НІК 2104-02.40РТМВ</t>
  </si>
  <si>
    <t>nik6164</t>
  </si>
  <si>
    <t>Однофазний лічильник НІК 2102-01.Е2МТР1 220В (5-60)А</t>
  </si>
  <si>
    <t>nik4827</t>
  </si>
  <si>
    <t>Однофазний лічильник НІК 2102-01.Е2Т 220В (5-60)А</t>
  </si>
  <si>
    <t>nik5707</t>
  </si>
  <si>
    <t>Однофазний лічильник НІК 2102-01.Е2Т1 220В (5-60)А</t>
  </si>
  <si>
    <t>nik1437</t>
  </si>
  <si>
    <t>Однофазний лічильник НІК 2102-02 1,0 220В (5-60)А М2В (корпус випуклий)</t>
  </si>
  <si>
    <t>nik3169</t>
  </si>
  <si>
    <t>Однофазний лічильник НІК 2102-02 1,0 220В (5-60)А 6400 М1В</t>
  </si>
  <si>
    <t>nik1481</t>
  </si>
  <si>
    <t>Однофазний лічильник НІК 2102-04 1,0 220В (5-50)А 6400 М2B</t>
  </si>
  <si>
    <t>nik4049</t>
  </si>
  <si>
    <t>Однофазний лічильник НІК 2104-02.20 Р1Т 1,0 220В (5-60)А</t>
  </si>
  <si>
    <t>nik3946</t>
  </si>
  <si>
    <t>Однофазний лічильник НІК 2104-02.20Т 220В (5-60)А</t>
  </si>
  <si>
    <t>Лічильники трифазні активної енергії багатотарифні ЖКІ</t>
  </si>
  <si>
    <t>nik9344</t>
  </si>
  <si>
    <t>Трифазний лічильник НІК 2303 L АП2Т 1000  МЕ   3х220/380В 5(60)А)</t>
  </si>
  <si>
    <t>nik4030</t>
  </si>
  <si>
    <t>Трифазний лічильник НІК 2303 АК1Т 1100 3х220/380В,комбінованого включення 5(10) А, багатотаріфний</t>
  </si>
  <si>
    <t>nik4329</t>
  </si>
  <si>
    <t>Трифазний лічильник НІК 2303 АП1Т 1100 3х220/380В, прямого включення 5(100) А, багатотаріфний</t>
  </si>
  <si>
    <t>nik3119</t>
  </si>
  <si>
    <t>Трифазний лічильник НІК 2303 АП1Т 1101 3х220/380В, прямого включення 5(100) А, багатотаріфний</t>
  </si>
  <si>
    <t>nik4327</t>
  </si>
  <si>
    <t>Трифазний лічильник НІК 2303 АП2Т 1100 3х220/380В, прямого включення 5(60) А, багатотаріфний</t>
  </si>
  <si>
    <t>nik3498</t>
  </si>
  <si>
    <t>Трифазний лічильник НІК 2303 АП2Т 1101 3х220/380В, прямого включення 5(60) А, багатотаріфний</t>
  </si>
  <si>
    <t>nik3530</t>
  </si>
  <si>
    <t>Трифазний лічильник НІК 2303 АП3Т 1100 3х220/380В, прямого включення 5(120) А, багатотаріфний</t>
  </si>
  <si>
    <t>nik3573</t>
  </si>
  <si>
    <t>Трифазний лічильник НІК 2303 АП3Т 1101 3х220/380В, прямого включення 5(120) А, багатотаріфний</t>
  </si>
  <si>
    <t>nik3888</t>
  </si>
  <si>
    <t>Трифазний лічильник НІК 2303 АП3Т 1120 3х220/380В, прямого включення 5(120) А, багатотаріфний</t>
  </si>
  <si>
    <t>nik3618</t>
  </si>
  <si>
    <t>Трифазний лічильник НІК 2303 АП3Т 1121 3х220/380В, прямого включення 5(120) А, багатотаріфний</t>
  </si>
  <si>
    <t>nik12862</t>
  </si>
  <si>
    <t>Трифазний лічильник НІК 2303L АП1Т 1000  МЕ</t>
  </si>
  <si>
    <t>nik1419</t>
  </si>
  <si>
    <t>Трифазний лічильник НІК 2303L АК1Т 1080 МСE 3х220/380В 5(10)А ,  багатотаріфний</t>
  </si>
  <si>
    <t>nik6461</t>
  </si>
  <si>
    <t>Трифазний лічильник НІК 2303L АП1Т 1000 МE 3х220/380В, прямого включення 5(100) А, багатотаріфний</t>
  </si>
  <si>
    <t>nik1812</t>
  </si>
  <si>
    <t>Трифазний лічильник НІК 2303L АП3Т 1000 МE 3х220/380В 5(120)А, прямого включення 5(120) А, багатотаріфний</t>
  </si>
  <si>
    <t>Лічильники трифазні активної енергії МЕХ</t>
  </si>
  <si>
    <t>nik7543</t>
  </si>
  <si>
    <t>Лічильник NІК 2300 АР6.0500.С.11</t>
  </si>
  <si>
    <t>nik7542</t>
  </si>
  <si>
    <t>Лічильник NІК 2301 АР2.0000.0.11</t>
  </si>
  <si>
    <t>nik9959</t>
  </si>
  <si>
    <t>Лічильник NІК 2301 АР3.0000.0.11</t>
  </si>
  <si>
    <t>nik7999</t>
  </si>
  <si>
    <t>Лічильник NІК 2301 АР3.0500.М.11</t>
  </si>
  <si>
    <t>nik7541</t>
  </si>
  <si>
    <t>Лічильник NІК 2301 АТ.0000.0.11</t>
  </si>
  <si>
    <t>nik7997</t>
  </si>
  <si>
    <t>Лічильник NІК 2301 АТ.0500.М.11</t>
  </si>
  <si>
    <t>nik7659</t>
  </si>
  <si>
    <t>Лічильник NІК 2303 AP3.1000.М.11</t>
  </si>
  <si>
    <t>nik7819</t>
  </si>
  <si>
    <t>Лічильник НІК 2303 АП3 1140 МС</t>
  </si>
  <si>
    <t>nik1880</t>
  </si>
  <si>
    <t>Лічильник НІК 2303L АК1Т 1000 МE</t>
  </si>
  <si>
    <t>nik1876</t>
  </si>
  <si>
    <t>Лічильник НІК 2303L АП1 1000 МE</t>
  </si>
  <si>
    <t>nik5667</t>
  </si>
  <si>
    <t>Лічильник НІК 2303L АП1 1040 МE</t>
  </si>
  <si>
    <t>nik3108</t>
  </si>
  <si>
    <t>Лічильник НІК 2303L АП1Т 1000 МСE</t>
  </si>
  <si>
    <t>nik1657</t>
  </si>
  <si>
    <t>Лічильник НІК 2303L АП2Т 1040 МЕ</t>
  </si>
  <si>
    <t>nik1879</t>
  </si>
  <si>
    <t>Лічильник НІК 2303L АП3 1000 МE</t>
  </si>
  <si>
    <t>nik1990</t>
  </si>
  <si>
    <t>Трифазний лічильник НІК 2301 АК1В(1,0 3х220/380В 5(10)А)</t>
  </si>
  <si>
    <t>nik1428</t>
  </si>
  <si>
    <t>Трифазний лічильник НІК 2301 АП1 (1,0 3х220/380В 5(100)А)</t>
  </si>
  <si>
    <t>nik5084</t>
  </si>
  <si>
    <t>Трифазний лічильник НІК 2301 АП1 В (1,0 3х220/380В 5-(100)А)</t>
  </si>
  <si>
    <t>nik2307</t>
  </si>
  <si>
    <t>Трифазний лічильник НІК 2301 АП2 (1,0 3х220/380В 5(60)А)</t>
  </si>
  <si>
    <t>nik5092</t>
  </si>
  <si>
    <t>Трифазний лічильник НІК 2301 АП2В (1,0 3х220/380В 5(60)А)</t>
  </si>
  <si>
    <t>nik2265</t>
  </si>
  <si>
    <t>Трифазний лічильник НІК 2301 АП3 (1,0 3х220/380В 5(120)А)</t>
  </si>
  <si>
    <t>nik2308</t>
  </si>
  <si>
    <t>Трифазний лічильник НІК 2301 АТ1 (1,0 3х100В 5(10)А)</t>
  </si>
  <si>
    <t>nik4027</t>
  </si>
  <si>
    <t>Лічильник трифазний з ж/к екраном НІК 2303 АК1 1100, комбінованого включення 5(10) А</t>
  </si>
  <si>
    <t>nik7900</t>
  </si>
  <si>
    <t>Лічильник трифазний з ж/к екраном НІК 2303 АК1 1100 MC, комбінованого включення 5(10) А, з захистом від магнітних та радіозавад.</t>
  </si>
  <si>
    <t>nik4482</t>
  </si>
  <si>
    <t>Лічильник трифазний з ж/к екраном НІК 2303 АП1 1100 прямого включення 5(100)А</t>
  </si>
  <si>
    <t>nik4025</t>
  </si>
  <si>
    <t>Лічильник трифазний з ж/к екраном НІК 2303 АП2 1100 прямого включення 5(60)А</t>
  </si>
  <si>
    <t>nik8538</t>
  </si>
  <si>
    <t>Лічильник трифазний з ж/к екраном НІК 2303 АП2 1100 MC прямого включення 5(60)А, з захистом від магнітних та радіозавад.</t>
  </si>
  <si>
    <t>nik4026</t>
  </si>
  <si>
    <t>Лічильник трифазний з ж/к екраном НІК 2303 АП3 1100 прямого включення 5(120)А</t>
  </si>
  <si>
    <t>nik6782</t>
  </si>
  <si>
    <t>Лічильник трифазний з ж/к екраном НІК 2303 АП3 1100 прямого включення 5(120)А, з захистом від магнітних та радіозавад.</t>
  </si>
  <si>
    <t>Лічільники води</t>
  </si>
  <si>
    <t>4327</t>
  </si>
  <si>
    <t>Лічильник гарячої води електронний НІК-7011Е-Г-15-0-0</t>
  </si>
  <si>
    <t>4328</t>
  </si>
  <si>
    <t>Лічильник гарячої води електронний НІК-7011Е-Г-20-0-0</t>
  </si>
  <si>
    <t>4329</t>
  </si>
  <si>
    <t>Лічильник гарячої води електронний НІК-7011Е-Г-25-0-0</t>
  </si>
  <si>
    <t>4332</t>
  </si>
  <si>
    <t>Лічильник гарячої води механічний НІК-7011М-Г-15-0-0</t>
  </si>
  <si>
    <t>4331</t>
  </si>
  <si>
    <t>Лічильник гарячої води механічний НІК-7011М-Г-20-0-0</t>
  </si>
  <si>
    <t>4335</t>
  </si>
  <si>
    <t>Лічильник гарячої води механічний НІК-7011М-Г-25-0-0</t>
  </si>
  <si>
    <t>4324</t>
  </si>
  <si>
    <t>Лічильник холодної води електронний НІК-7011Е-Х-15-0-0</t>
  </si>
  <si>
    <t>4325</t>
  </si>
  <si>
    <t>Лічильник холодної води електронний НІК-7011Е-Х-20-0-0</t>
  </si>
  <si>
    <t>4326</t>
  </si>
  <si>
    <t>Лічильник холодної води електронний НІК-7011Е-Х-25-0-0</t>
  </si>
  <si>
    <t>4333</t>
  </si>
  <si>
    <t>Лічильник холодної води механічний НІК-7011М-Х-15-0-0</t>
  </si>
  <si>
    <t>4334</t>
  </si>
  <si>
    <t>Лічильник холодної води механічний НІК-7011М-Х-20-0-0</t>
  </si>
  <si>
    <t>4336</t>
  </si>
  <si>
    <t>Лічильник холодної води механічний НІК-7011М-Х-25-0-0</t>
  </si>
  <si>
    <t>Лічільники тепла</t>
  </si>
  <si>
    <t>5397</t>
  </si>
  <si>
    <t>Лічильник тепла НІК-7061-15-0-0-01,5</t>
  </si>
  <si>
    <t>5412</t>
  </si>
  <si>
    <t>Лічильник тепла НІК-7061-15-0-0-03,0</t>
  </si>
  <si>
    <t>Трансформатори струму</t>
  </si>
  <si>
    <t>Т-0,66/50/5/0,5s</t>
  </si>
  <si>
    <t>Трансформатор струму Т-0,66 50/5 клас точності 0,5s</t>
  </si>
  <si>
    <t>Т-0,66/100/5</t>
  </si>
  <si>
    <t>Трансформатор струму Т-0,66 100/5 клас точності 0,5</t>
  </si>
  <si>
    <t>Т-0,66/100/5/0,5s</t>
  </si>
  <si>
    <t>Трансформатор струму Т-0,66 100/5 клас точності 0,5s</t>
  </si>
  <si>
    <t>Т-0,66/150/5</t>
  </si>
  <si>
    <t>Трансформатор струму Т-0,66 150/5 клас точності 0,5</t>
  </si>
  <si>
    <t>Т-0,66/150/5/0,5s</t>
  </si>
  <si>
    <t>Трансформатор струму Т-0,66 150/5 клас точності 0,5s</t>
  </si>
  <si>
    <t>Т-0,66/200/5</t>
  </si>
  <si>
    <t>Трансформатор струму Т-0,66 200/5 клас точності 0,5</t>
  </si>
  <si>
    <t>Т-0,66/200/5/0,5s</t>
  </si>
  <si>
    <t>Трансформатор струму Т-0,66 200/5 клас точності 0,5s</t>
  </si>
  <si>
    <t>Т-0,66/250/5</t>
  </si>
  <si>
    <t>Трансформатор струму Т-0,66 250/5 клас точності 0,5</t>
  </si>
  <si>
    <t>Т-0,66/250/5/0.5s</t>
  </si>
  <si>
    <t>Трансформатор струму Т-0,66 250/5  0,5s</t>
  </si>
  <si>
    <t>Т-0,66/300/5/0,5</t>
  </si>
  <si>
    <t>Трансформатор струму Т-0,66 300/5 клас точності 0,5</t>
  </si>
  <si>
    <t>Т-0,66/300/5/0,5s</t>
  </si>
  <si>
    <t>Трансформатор струму Т-0,66 300/5 клас точності 0,5s</t>
  </si>
  <si>
    <t>Т-0,66/400/5</t>
  </si>
  <si>
    <t>Трансформатор струму Т-0,66 400/5 клас точності 0,5</t>
  </si>
  <si>
    <t>Т-0,66/400/5/0,5s</t>
  </si>
  <si>
    <t>Трансформатор струму Т-0,66 400/5 клас точності 0,5s</t>
  </si>
  <si>
    <t>Т-0,66/500/5/0,5s</t>
  </si>
  <si>
    <t>Трансформатор струму Т-0,66 500/5 клас точності 0,5s</t>
  </si>
  <si>
    <t>Т-0,66/600/5</t>
  </si>
  <si>
    <t>Трансформатор струму Т-0,66 600/5 клас точності 0,5</t>
  </si>
  <si>
    <t>Т-0,66/600/5 (0,5S)</t>
  </si>
  <si>
    <t>Трансформатор струму Т-0,66 600/5 клас точності 0,5 (0,5S)</t>
  </si>
  <si>
    <t>ТШ-0,66/1/1200/5/0,5s</t>
  </si>
  <si>
    <t>Трансформатор струму ТШ-0,66-1 1200/5  0,5s</t>
  </si>
  <si>
    <t>15.Кабель та провід</t>
  </si>
  <si>
    <t>Кабель (предложение дистрибьютору)</t>
  </si>
  <si>
    <t>cab0050066</t>
  </si>
  <si>
    <t>Кабель ВВГнгд-0,66 3х1,5</t>
  </si>
  <si>
    <t>cab0050067</t>
  </si>
  <si>
    <t>Кабель ВВГнгд-0,66 3х2,5</t>
  </si>
  <si>
    <t>cab0032198</t>
  </si>
  <si>
    <t>Кабель ВВГп- 0,66 2х1,5</t>
  </si>
  <si>
    <t>cab0030198</t>
  </si>
  <si>
    <t>Кабель ВВГп- 0,66 2х2,5</t>
  </si>
  <si>
    <t>cab0030081</t>
  </si>
  <si>
    <t>Кабель ВВГп- 0,66 3х1,5</t>
  </si>
  <si>
    <t>cab0030076</t>
  </si>
  <si>
    <t>Кабель ВВГп- 0,66 3х2,5</t>
  </si>
  <si>
    <t>cab0010110</t>
  </si>
  <si>
    <t>Провод ПВС 2х0,5</t>
  </si>
  <si>
    <t>cab0010017</t>
  </si>
  <si>
    <t>Провод ПВС 2х0,75</t>
  </si>
  <si>
    <t>cab0010050</t>
  </si>
  <si>
    <t>Провод ПВС 2х1,0</t>
  </si>
  <si>
    <t>cab0010010</t>
  </si>
  <si>
    <t>Провод ПВС 2х1,5</t>
  </si>
  <si>
    <t>cab0010011</t>
  </si>
  <si>
    <t>Провод ПВС 2х2,5</t>
  </si>
  <si>
    <t>cab0010019</t>
  </si>
  <si>
    <t>Провод ПВС 3х0,75</t>
  </si>
  <si>
    <t>cab0010077</t>
  </si>
  <si>
    <t>Провод ПВС 3х1,0</t>
  </si>
  <si>
    <t>cab0010012</t>
  </si>
  <si>
    <t>Провод ПВС 3х1,5</t>
  </si>
  <si>
    <t>cab0010002</t>
  </si>
  <si>
    <t>Провод ПВС 3х2,5</t>
  </si>
  <si>
    <t>cab0018512</t>
  </si>
  <si>
    <t>Провод ПВС 3х4</t>
  </si>
  <si>
    <t>cab0018012</t>
  </si>
  <si>
    <t>Провод ПВС 4х4</t>
  </si>
  <si>
    <t>cab0130006</t>
  </si>
  <si>
    <t>Провод ШВВП 2х0,5</t>
  </si>
  <si>
    <t>cab0010026</t>
  </si>
  <si>
    <t>Провод ШВВП 2х0,75</t>
  </si>
  <si>
    <t>cab0130001</t>
  </si>
  <si>
    <t>Провод ШВВП 2х1,0</t>
  </si>
  <si>
    <t>cab0130003</t>
  </si>
  <si>
    <t>Провод ШВВП 2х1,5</t>
  </si>
  <si>
    <t>cab0130005</t>
  </si>
  <si>
    <t>Провод ШВВП 2х2,5</t>
  </si>
  <si>
    <t>cab0130017</t>
  </si>
  <si>
    <t>Провод ШВВП 3х0,75</t>
  </si>
  <si>
    <t>cab0130007</t>
  </si>
  <si>
    <t>Провод ШВВП 3х1,0</t>
  </si>
  <si>
    <t>cab0130002</t>
  </si>
  <si>
    <t>Провод ШВВП 3х1,5</t>
  </si>
  <si>
    <t>cab0010060</t>
  </si>
  <si>
    <t>Провод ШВВП 3х2,5</t>
  </si>
  <si>
    <t>Кабель силовой</t>
  </si>
  <si>
    <t>АВВГ</t>
  </si>
  <si>
    <t>cab0030035</t>
  </si>
  <si>
    <t>Кабель АВВГ-0.66 2х4,0</t>
  </si>
  <si>
    <t>cab0140013</t>
  </si>
  <si>
    <t>Кабель АВВГ-п-0,66 2х6,0</t>
  </si>
  <si>
    <t>ВВГ</t>
  </si>
  <si>
    <t>cab0031115</t>
  </si>
  <si>
    <t>ВВГнгд- п  2х1,5</t>
  </si>
  <si>
    <t>cab0030116</t>
  </si>
  <si>
    <t>ВВГнг п  3х1,5</t>
  </si>
  <si>
    <t>cab0030117</t>
  </si>
  <si>
    <t>ВВГнг п  3х2,5</t>
  </si>
  <si>
    <t>ВВГ(ЗЗКМ)</t>
  </si>
  <si>
    <t>cab0030079z</t>
  </si>
  <si>
    <t>Кабель ВВГп- 0,66 2х1,5 (ЗЗКМ)</t>
  </si>
  <si>
    <t>Кабель телефонный</t>
  </si>
  <si>
    <t>cab0021545</t>
  </si>
  <si>
    <t>КВПВ (100) 4х2х0,50 (U/UTP cat.5E) кабель для структурованих мереж</t>
  </si>
  <si>
    <t>cab0021546</t>
  </si>
  <si>
    <t>КВПЕВ (200) 4х2х0,51 (F/UTP cat.5E) кабель для структурованих мереж</t>
  </si>
  <si>
    <t>Плетінка мідна луджена</t>
  </si>
  <si>
    <t>cab0200001</t>
  </si>
  <si>
    <t>Плетінка мідна луджена PLc 3x6</t>
  </si>
  <si>
    <t>cab0200002</t>
  </si>
  <si>
    <t>Плетінка мідна луджена PLc 6x10</t>
  </si>
  <si>
    <t>cab0200003</t>
  </si>
  <si>
    <t>Плетінка мідна луджена PLc 10x16</t>
  </si>
  <si>
    <t>cab0200004</t>
  </si>
  <si>
    <t>Плетінка мідна луджена PLc 16x24</t>
  </si>
  <si>
    <t>cab0200005</t>
  </si>
  <si>
    <t>Плетінка мідна луджена PLc 24x30</t>
  </si>
  <si>
    <t>Провід компенсаційний</t>
  </si>
  <si>
    <t>саb0092263</t>
  </si>
  <si>
    <t>Кабель компенсаційний KCASILSIEK 1*2*0.22</t>
  </si>
  <si>
    <t>Провід термостійкий</t>
  </si>
  <si>
    <t>Провід в прозорій ПВХ ізоляції H00V3</t>
  </si>
  <si>
    <t>cab0270001</t>
  </si>
  <si>
    <t>Провід в прозорій ПВХ ізоляції H00V3-D16</t>
  </si>
  <si>
    <t>cab0270002</t>
  </si>
  <si>
    <t>Провід в прозорій ПВХ ізоляції H00V3-D25</t>
  </si>
  <si>
    <t>Провід в прозорій силіконовій ізоляції H00S</t>
  </si>
  <si>
    <t>cab0260001</t>
  </si>
  <si>
    <t>Провід в прозорій силіконовій ізоляції H00S-D16</t>
  </si>
  <si>
    <t>cab0260002</t>
  </si>
  <si>
    <t>Провід в прозорій силіконовій ізоляції H00S-D25</t>
  </si>
  <si>
    <t>Провід термостійкий H05J-K</t>
  </si>
  <si>
    <t>cab0250001</t>
  </si>
  <si>
    <t>Провід термостійкий H05J-K 1x0.75 (400°C)</t>
  </si>
  <si>
    <t>cab0250002</t>
  </si>
  <si>
    <t>Провід термостійкий H05J-K 1x1,0 (400°C)</t>
  </si>
  <si>
    <t>cab0250003</t>
  </si>
  <si>
    <t>Провід термостійкий H05J-K 1x1,5 (400°C)</t>
  </si>
  <si>
    <t>cab0250004</t>
  </si>
  <si>
    <t>Провід термостійкий H05J-K 1x2,5 (400°C)</t>
  </si>
  <si>
    <t>cab0250005</t>
  </si>
  <si>
    <t>Провід термостійкий H05J-K 1x4,0 (400°C)</t>
  </si>
  <si>
    <t>Провід термостійкий H05S-K</t>
  </si>
  <si>
    <t>cab0210001</t>
  </si>
  <si>
    <t>Провід термостійкий H05S-K 1x0,5</t>
  </si>
  <si>
    <t>cab0210002</t>
  </si>
  <si>
    <t>Провід термостійкий H05S-K 1x0,75</t>
  </si>
  <si>
    <t>cab0210003</t>
  </si>
  <si>
    <t>Провід термостійкий H05S-K 1x1,0</t>
  </si>
  <si>
    <t>cab0210004</t>
  </si>
  <si>
    <t>Провід термостійкий H05S-K 1x1,5</t>
  </si>
  <si>
    <t>cab0210005</t>
  </si>
  <si>
    <t>Провід термостійкий H05S-K 1x2,5</t>
  </si>
  <si>
    <t>Провід термостійкий H05SS-F</t>
  </si>
  <si>
    <t>cab0210006</t>
  </si>
  <si>
    <t>Провід термостійкий H05SS-F 2x0,5</t>
  </si>
  <si>
    <t>cab0220001</t>
  </si>
  <si>
    <t>Провід термостійкий H05SS-F 2x0,75</t>
  </si>
  <si>
    <t>cab0220002</t>
  </si>
  <si>
    <t>Провід термостійкий H05SS-F 2x1,0</t>
  </si>
  <si>
    <t>cab0220003</t>
  </si>
  <si>
    <t>Провід термостійкий H05SS-F 2x1,5</t>
  </si>
  <si>
    <t>cab0220004</t>
  </si>
  <si>
    <t>Провід термостійкий H05SS-F 2x2,5</t>
  </si>
  <si>
    <t>cab0220005</t>
  </si>
  <si>
    <t>Провід термостійкий H05SS-F 3x0,75</t>
  </si>
  <si>
    <t>cab0220006</t>
  </si>
  <si>
    <t>Провід термостійкий H05SS-F 3x1,0</t>
  </si>
  <si>
    <t>cab0220007</t>
  </si>
  <si>
    <t>Провід термостійкий H05SS-F 3x1,5</t>
  </si>
  <si>
    <t>cab0220008</t>
  </si>
  <si>
    <t>Провід термостійкий H05SS-F 3x2,5</t>
  </si>
  <si>
    <t>cab0220009</t>
  </si>
  <si>
    <t>Провід термостійкий H05SS-F 3x4,0</t>
  </si>
  <si>
    <t>cab0240001</t>
  </si>
  <si>
    <t>Провід термостійкий H05SS-F 4x0,75</t>
  </si>
  <si>
    <t>cab0240002</t>
  </si>
  <si>
    <t>Провід термостійкий H05SS-F 4x1,0</t>
  </si>
  <si>
    <t>cab0240003</t>
  </si>
  <si>
    <t>Провід термостійкий H05SS-F 4x1,5</t>
  </si>
  <si>
    <t>cab0240004</t>
  </si>
  <si>
    <t>Провід термостійкий H05SS-F 5x0,75</t>
  </si>
  <si>
    <t>cab0240005</t>
  </si>
  <si>
    <t>Провід термостійкий H05SS-F 5x1,0</t>
  </si>
  <si>
    <t>cab0240006</t>
  </si>
  <si>
    <t>Провід термостійкий H05SS-F 5x1,5</t>
  </si>
  <si>
    <t>Провод самонесущий</t>
  </si>
  <si>
    <t>cab0070026</t>
  </si>
  <si>
    <t>Провод CИП-4 2х16</t>
  </si>
  <si>
    <t>cab0070025</t>
  </si>
  <si>
    <t>Провод CИП-4 4х16</t>
  </si>
  <si>
    <t>cab0070017</t>
  </si>
  <si>
    <t>Провод CИП-4 4х25</t>
  </si>
  <si>
    <t>Провода установочные</t>
  </si>
  <si>
    <t>АПВ</t>
  </si>
  <si>
    <t>cab0150001</t>
  </si>
  <si>
    <t>Провод АПВ 2,5</t>
  </si>
  <si>
    <t>ВВП-1</t>
  </si>
  <si>
    <t>cab0010056</t>
  </si>
  <si>
    <t>Провод ВВП-1 2х1,5</t>
  </si>
  <si>
    <t>cab0010057</t>
  </si>
  <si>
    <t>Провод ВВП-1 2х2,5</t>
  </si>
  <si>
    <t>cab0010058</t>
  </si>
  <si>
    <t>Провод ВВП-1 3х1,5</t>
  </si>
  <si>
    <t>cab0010059</t>
  </si>
  <si>
    <t>Провод ВВП-1 3х2,5</t>
  </si>
  <si>
    <t>ПВ-1</t>
  </si>
  <si>
    <t>cab0010063</t>
  </si>
  <si>
    <t>Провод ПВ-1 1,5 (синій)</t>
  </si>
  <si>
    <t>cab0010038</t>
  </si>
  <si>
    <t>Провод ПВ-1 2,5 (білий)</t>
  </si>
  <si>
    <t>cab0019010</t>
  </si>
  <si>
    <t>Провод ПВ-1 6,0</t>
  </si>
  <si>
    <t>ПВ-1 (ЗЗКМ)</t>
  </si>
  <si>
    <t>cab0010037z</t>
  </si>
  <si>
    <t>Провод ПВ-1 1,5 (білий)(ЗЗКМ)</t>
  </si>
  <si>
    <t>ПВ-3</t>
  </si>
  <si>
    <t>cab02200071</t>
  </si>
  <si>
    <t>Провод ПВ-3 0.75 (червоний)</t>
  </si>
  <si>
    <t>cab0220036</t>
  </si>
  <si>
    <t>Провод ПВ-3 0.75 (чорний)</t>
  </si>
  <si>
    <t>cab0010024</t>
  </si>
  <si>
    <t>Провод ПВ-3 1,0 (білий)</t>
  </si>
  <si>
    <t>cab0010025</t>
  </si>
  <si>
    <t>Провод ПВ-3 1,0 (червоний)</t>
  </si>
  <si>
    <t>cab0220021</t>
  </si>
  <si>
    <t>Провод ПВ-3 1,0 (чёрный)</t>
  </si>
  <si>
    <t>cab0010107</t>
  </si>
  <si>
    <t>Провод ПВ-3 1,5</t>
  </si>
  <si>
    <t>cab0220030</t>
  </si>
  <si>
    <t>Провод ПВ-3 1,5 (синій)</t>
  </si>
  <si>
    <t>cab0010089</t>
  </si>
  <si>
    <t>Провод ПВ-3 2,5</t>
  </si>
  <si>
    <t>cab0220020</t>
  </si>
  <si>
    <t>Провод ПВ-3 2,5(синій)</t>
  </si>
  <si>
    <t>cab0010243</t>
  </si>
  <si>
    <t>Провод ПВ-3 4,0 (желто-зеленый)</t>
  </si>
  <si>
    <t>cab0220024</t>
  </si>
  <si>
    <t>Провод ПВ-3 4,0 (червоний)</t>
  </si>
  <si>
    <t>cab0010546</t>
  </si>
  <si>
    <t>Провод ПВ-3 6,0</t>
  </si>
  <si>
    <t>cab0010005</t>
  </si>
  <si>
    <t>Провод ПВ-3 6,0 (білий)</t>
  </si>
  <si>
    <t>cab0012046</t>
  </si>
  <si>
    <t>Провод ПВ-3 6,0 (желто-зеленый)</t>
  </si>
  <si>
    <t>cab0010006</t>
  </si>
  <si>
    <t>Провод ПВ-3 10,0 (білий)</t>
  </si>
  <si>
    <t>cab0220027</t>
  </si>
  <si>
    <t>Провод ПВ-3 10,0 (червоний)</t>
  </si>
  <si>
    <t>cab0220047</t>
  </si>
  <si>
    <t>Провод ПВ-3 10,0 (синій)</t>
  </si>
  <si>
    <t>cab0220019</t>
  </si>
  <si>
    <t>Провод ПВ-3 16 (червоний)</t>
  </si>
  <si>
    <t>cab0010049</t>
  </si>
  <si>
    <t>Провод ПВ-3 25,0 (білий)</t>
  </si>
  <si>
    <t>cab0012149</t>
  </si>
  <si>
    <t>Провод ПВ-3 нгд 10</t>
  </si>
  <si>
    <t>ПВ-3 (ЗЗКМ)</t>
  </si>
  <si>
    <t>cab0220021z</t>
  </si>
  <si>
    <t>Провід ПВ-3 1,0 (чорний)(ЗЗКМ)</t>
  </si>
  <si>
    <t>cab0010006z</t>
  </si>
  <si>
    <t>ПВС</t>
  </si>
  <si>
    <t>cab0010020</t>
  </si>
  <si>
    <t>Провод ПВС 4х1,5</t>
  </si>
  <si>
    <t>ПВС(ЗЗКМ)</t>
  </si>
  <si>
    <t>cab0010050z</t>
  </si>
  <si>
    <t>Провід ПВС 2х1,0 (ЗЗКМ)</t>
  </si>
  <si>
    <t>cab0010011z</t>
  </si>
  <si>
    <t>Провід ПВС 2х2,5 (ЗЗКМ)</t>
  </si>
  <si>
    <t>ПВС(Тумен)</t>
  </si>
  <si>
    <t>30205298</t>
  </si>
  <si>
    <t>Провод ПВС 2х0,75 Тумен</t>
  </si>
  <si>
    <t>30205266</t>
  </si>
  <si>
    <t>Провод ПВС 2х1 Тумен</t>
  </si>
  <si>
    <t>30205198</t>
  </si>
  <si>
    <t>Провод ПВС 2х1,5 Тумен</t>
  </si>
  <si>
    <t>30205199</t>
  </si>
  <si>
    <t>Провод ПВС 2х2,5 Тумен</t>
  </si>
  <si>
    <t>30205205</t>
  </si>
  <si>
    <t>Провод ПВС 3х1,5 Тумен</t>
  </si>
  <si>
    <t>30205192</t>
  </si>
  <si>
    <t>ШВВП</t>
  </si>
  <si>
    <t>cab0130008</t>
  </si>
  <si>
    <t>Провод ШВВП 2х4,0</t>
  </si>
  <si>
    <t>ШВВП (ЗЗКМ)</t>
  </si>
  <si>
    <t>cab0010026z</t>
  </si>
  <si>
    <t>Провід ШВВП 2х0,75(ЗЗКМ)</t>
  </si>
  <si>
    <t>cab0130001z</t>
  </si>
  <si>
    <t>Провід ШВВП 2х1,0 (ЗЗКМ)</t>
  </si>
  <si>
    <t>cab0010060z</t>
  </si>
  <si>
    <t>Провід ШВВП 3х2,5 (ЗЗКМ)</t>
  </si>
  <si>
    <t>ШВВП (Тумен)</t>
  </si>
  <si>
    <t>31205192</t>
  </si>
  <si>
    <t>Провод ШВВП 2х0,75 Тумен</t>
  </si>
  <si>
    <t>31205193</t>
  </si>
  <si>
    <t>Провод ШВВП 2х1,0 Тумен</t>
  </si>
  <si>
    <t>30205189</t>
  </si>
  <si>
    <t>Провод ШВВП 2х1,5 Тумен</t>
  </si>
  <si>
    <t>30205190</t>
  </si>
  <si>
    <t>Провод ШВВП 2х2,5 Тумен</t>
  </si>
  <si>
    <t>30215198</t>
  </si>
  <si>
    <t>Провод ШВВП 3х1,5 Тумен</t>
  </si>
  <si>
    <t>30205195</t>
  </si>
  <si>
    <t>Провод ШВВП 3х2,5 Тумен</t>
  </si>
  <si>
    <t>16.Стабілізатори напруги</t>
  </si>
  <si>
    <t>СНВТ-1500-1</t>
  </si>
  <si>
    <t>Стабілізатор напруги СНВТ-1500-1, 1500 VA</t>
  </si>
  <si>
    <t>17.Низьковольтні комплектні пристрої</t>
  </si>
  <si>
    <t>1.Пристрої автоматичного вводу резерву АВР</t>
  </si>
  <si>
    <t>1.АВР тип-1</t>
  </si>
  <si>
    <t>i0161001</t>
  </si>
  <si>
    <t>НКП-0,4-2-10-2-01</t>
  </si>
  <si>
    <t>i0161002</t>
  </si>
  <si>
    <t>НКП-0,4-2-16-2-01</t>
  </si>
  <si>
    <t>i0161003</t>
  </si>
  <si>
    <t>НКП-0,4-2-20-2-01</t>
  </si>
  <si>
    <t>i0161004</t>
  </si>
  <si>
    <t>НКП-0,4-2-25-2-01</t>
  </si>
  <si>
    <t>i0161005</t>
  </si>
  <si>
    <t>НКП-0,4-2-40-2-01</t>
  </si>
  <si>
    <t>i0161006</t>
  </si>
  <si>
    <t>НКП-0,4-2-50-2-01</t>
  </si>
  <si>
    <t>i0161007</t>
  </si>
  <si>
    <t>НКП-0,4-2-63-2-01</t>
  </si>
  <si>
    <t>i0161008</t>
  </si>
  <si>
    <t>НКП-0,4-2-80-2-01</t>
  </si>
  <si>
    <t>i0161010</t>
  </si>
  <si>
    <t>НКП-0,4-2-120-2-01</t>
  </si>
  <si>
    <t>i0161011</t>
  </si>
  <si>
    <t>НКП-0,4-2-150-2-01</t>
  </si>
  <si>
    <t>i0161012</t>
  </si>
  <si>
    <t>НКП-0,4-2-200-2-01</t>
  </si>
  <si>
    <t>i0161013</t>
  </si>
  <si>
    <t>НКП-0,4-2-300-2-01</t>
  </si>
  <si>
    <t>i0161014</t>
  </si>
  <si>
    <t>НКП-0,4-2-400-2-01</t>
  </si>
  <si>
    <t>2.АВР тип-2</t>
  </si>
  <si>
    <t>i0162001</t>
  </si>
  <si>
    <t>НКП-0,4-2-10-2-02</t>
  </si>
  <si>
    <t>i0162002</t>
  </si>
  <si>
    <t>НКП-0,4-2-16-2-02</t>
  </si>
  <si>
    <t>i0162004</t>
  </si>
  <si>
    <t>НКП-0,4-2-25-2-02</t>
  </si>
  <si>
    <t>i0162005</t>
  </si>
  <si>
    <t>НКП-0,4-2-40-2-02</t>
  </si>
  <si>
    <t>i0162006</t>
  </si>
  <si>
    <t>НКП-0,4-2-50-2-02</t>
  </si>
  <si>
    <t>i0162007</t>
  </si>
  <si>
    <t>НКП-0,4-2-63-2-02</t>
  </si>
  <si>
    <t>i0162008</t>
  </si>
  <si>
    <t>НКП-0,4-2-80-2-02</t>
  </si>
  <si>
    <t>i0162003</t>
  </si>
  <si>
    <t>НКП-0,4-2-20-2-02</t>
  </si>
  <si>
    <t>i0162009</t>
  </si>
  <si>
    <t>НКП-0,4-2-100-2-02</t>
  </si>
  <si>
    <t>i0162010</t>
  </si>
  <si>
    <t>НКП-0,4-2-120-2-02</t>
  </si>
  <si>
    <t>i0162011</t>
  </si>
  <si>
    <t>НКП-0,4-2-150-2-02</t>
  </si>
  <si>
    <t>i0162012</t>
  </si>
  <si>
    <t>НКП-0,4-2-200-2-02</t>
  </si>
  <si>
    <t>i0162013</t>
  </si>
  <si>
    <t>НКП-0,4-2-300-2-02</t>
  </si>
  <si>
    <t>i0162014</t>
  </si>
  <si>
    <t>НКП-0,4-2-400-2-02</t>
  </si>
  <si>
    <t>3.АВР тип-3</t>
  </si>
  <si>
    <t>i0163001</t>
  </si>
  <si>
    <t>НКП-0,4-2-10-2-03</t>
  </si>
  <si>
    <t>i0163002</t>
  </si>
  <si>
    <t>НКП-0,4-2-16-2-03</t>
  </si>
  <si>
    <t>i0163003</t>
  </si>
  <si>
    <t>НКП-0,4-2-20-2-03</t>
  </si>
  <si>
    <t>i0163004</t>
  </si>
  <si>
    <t>НКП-0,4-2-25-2-03</t>
  </si>
  <si>
    <t>i0163005</t>
  </si>
  <si>
    <t>НКП-0,4-2-40-2-03</t>
  </si>
  <si>
    <t>i0163006</t>
  </si>
  <si>
    <t>НКП-0,4-2-50-2-03</t>
  </si>
  <si>
    <t>i0163007</t>
  </si>
  <si>
    <t>НКП-0,4-2-63-2-03</t>
  </si>
  <si>
    <t>i0163008</t>
  </si>
  <si>
    <t>НКП-0,4-2-80-2-03</t>
  </si>
  <si>
    <t>i0163009</t>
  </si>
  <si>
    <t>НКП-0,4-2-100-2-03</t>
  </si>
  <si>
    <t>i0163010</t>
  </si>
  <si>
    <t>НКП-0,4-2-120-2-03</t>
  </si>
  <si>
    <t>i0163011</t>
  </si>
  <si>
    <t>НКП-0,4-2-150-2-03</t>
  </si>
  <si>
    <t>i0163012</t>
  </si>
  <si>
    <t>НКП-0,4-2-200-2-03</t>
  </si>
  <si>
    <t>i0163013</t>
  </si>
  <si>
    <t>НКП-0,4-2-300-2-03</t>
  </si>
  <si>
    <t>i0163014</t>
  </si>
  <si>
    <t>НКП-0,4-2-400-2-03</t>
  </si>
  <si>
    <t>4.АВР тип-4</t>
  </si>
  <si>
    <t>i0164001</t>
  </si>
  <si>
    <t>НКП-0,4-2-10-2-04</t>
  </si>
  <si>
    <t>i0164002</t>
  </si>
  <si>
    <t>НКП-0,4-2-16-2-04</t>
  </si>
  <si>
    <t>i0164003</t>
  </si>
  <si>
    <t>НКП-0,4-2-20-2-04</t>
  </si>
  <si>
    <t>i0164004</t>
  </si>
  <si>
    <t>НКП-0,4-2-25-2-04</t>
  </si>
  <si>
    <t>i0164005</t>
  </si>
  <si>
    <t>НКП-0,4-2-40-2-04</t>
  </si>
  <si>
    <t>i0164006</t>
  </si>
  <si>
    <t>НКП-0,4-2-50-2-04</t>
  </si>
  <si>
    <t>i0164007</t>
  </si>
  <si>
    <t>НКП-0,4-2-63-2-04</t>
  </si>
  <si>
    <t>i0164008</t>
  </si>
  <si>
    <t>НКП-0,4-2-80-2-04</t>
  </si>
  <si>
    <t>i0164009</t>
  </si>
  <si>
    <t>НКП-0,4-2-100-2-04</t>
  </si>
  <si>
    <t>i0164010</t>
  </si>
  <si>
    <t>НКП-0,4-2-120-2-04</t>
  </si>
  <si>
    <t>i0164011</t>
  </si>
  <si>
    <t>НКП-0,4-2-150-2-04</t>
  </si>
  <si>
    <t>i0164012</t>
  </si>
  <si>
    <t>НКП-0,4-2-200-2-04</t>
  </si>
  <si>
    <t>i0164013</t>
  </si>
  <si>
    <t>НКП-0,4-2-300-2-04</t>
  </si>
  <si>
    <t>i0164014</t>
  </si>
  <si>
    <t>НКП-0,4-2-400-2-04</t>
  </si>
  <si>
    <t>18.Компенсація реактивної потужності</t>
  </si>
  <si>
    <t>1.Компенсація реактивної потужності низьковольтна</t>
  </si>
  <si>
    <t>1.Конденсатори однофазні</t>
  </si>
  <si>
    <t>ELEFP52033AE</t>
  </si>
  <si>
    <t>Самовідновлювальний однофазний циліндричний конденсатор 0,63кВАр 230В 38,1 мкФ±5% 230В-440В</t>
  </si>
  <si>
    <t>ELEFP40033AE</t>
  </si>
  <si>
    <t>Самовідновлювальний однофазний циліндричний конденсатор 1,1кВАр 230В 66 мкФ±5% 230В-440В</t>
  </si>
  <si>
    <t>2.Конденсатори трифазні Lifasa</t>
  </si>
  <si>
    <t>POLT44015</t>
  </si>
  <si>
    <t>Самовідновлювальний трифазний циліндричний конденсатор 1,25кВАр, 400В</t>
  </si>
  <si>
    <t>POLT44030</t>
  </si>
  <si>
    <t>Самовідновлювальний трифазний циліндричний конденсатор 2,5кВАр, 400В</t>
  </si>
  <si>
    <t>POLT44062</t>
  </si>
  <si>
    <t>Самовідновлювальний трифазний циліндричний конденсатор 5кВАр, 400В</t>
  </si>
  <si>
    <t>POLB46075SK</t>
  </si>
  <si>
    <t>Самовідновлювальний трифазний циліндричний конденсатор 7,5кВАр, 460В</t>
  </si>
  <si>
    <t>POLB44125SK</t>
  </si>
  <si>
    <t>Самовідновлювальний трифазний циліндричний конденсатор 10кВАр, 400В</t>
  </si>
  <si>
    <t>POLB44150SK</t>
  </si>
  <si>
    <t>Самовідновлювальний трифазний циліндричний конденсатор 12,5кВАр, 400В</t>
  </si>
  <si>
    <t>POLB44125HD</t>
  </si>
  <si>
    <t>Самовідновлювальний трифазний циліндричний конденсатор 10кВАр, 400В (12,5кВАр, 440В)</t>
  </si>
  <si>
    <t>POLB46125SK</t>
  </si>
  <si>
    <t>Самовідновлювальний трифазний циліндричний конденсатор 12,5кВАр, 460В</t>
  </si>
  <si>
    <t>POLB44182SK</t>
  </si>
  <si>
    <t>Самовідновлювальний трифазний циліндричний конденсатор 15кВАр, 400В</t>
  </si>
  <si>
    <t>POLB44150HD</t>
  </si>
  <si>
    <t>Самовідновлювальний трифазний циліндричний конденсатор 12,5кВАр, 400В (15кВАр, 440В)</t>
  </si>
  <si>
    <t>POLB44250SK</t>
  </si>
  <si>
    <t>Самовідновлювальний трифазний циліндричний конденсатор 20кВАр, 400В</t>
  </si>
  <si>
    <t>POLB46200SK</t>
  </si>
  <si>
    <t>Самовідновлювальний трифазний циліндричний конденсатор 20кВАр, 460В</t>
  </si>
  <si>
    <t>POLB44300SK</t>
  </si>
  <si>
    <t>Самовідновлювальний трифазний циліндричний конденсатор 25кВАр, 400В</t>
  </si>
  <si>
    <t>POLB44250HD</t>
  </si>
  <si>
    <t>Самовідновлювальний трифазний циліндричний конденсатор 20кВАр, 400В (25кВАр, 440В)</t>
  </si>
  <si>
    <t>POLB46250SK</t>
  </si>
  <si>
    <t>Самовідновлювальний трифазний циліндричний конденсатор 25кВАр, 460В</t>
  </si>
  <si>
    <t>POLB44364SK</t>
  </si>
  <si>
    <t>Самовідновлювальний трифазний циліндричний конденсатор 30кВАр, 400В</t>
  </si>
  <si>
    <t>POLB44300HD</t>
  </si>
  <si>
    <t>Самовідновлювальний трифазний циліндричний конденсатор 25кВАр, 440В (30кВАр, 440В)</t>
  </si>
  <si>
    <t>POLB46300SK</t>
  </si>
  <si>
    <t>Самовідновлювальний трифазний циліндричний конденсатор 30кВАр, 460В</t>
  </si>
  <si>
    <t>POLB44500SK</t>
  </si>
  <si>
    <t>Самовідновлювальний трифазний циліндричний конденсатор 40кВАр, 400В</t>
  </si>
  <si>
    <t>POLB40500SK</t>
  </si>
  <si>
    <t>Самовідновлювальний трифазний циліндричний конденсатор 50кВАр, 400В</t>
  </si>
  <si>
    <t>4.Дроселі</t>
  </si>
  <si>
    <t>INR40057</t>
  </si>
  <si>
    <t>Дросель трифазний 5кВАр, 400В, 7%</t>
  </si>
  <si>
    <t>INR40107</t>
  </si>
  <si>
    <t>Дросель трифазний 10кВАр, 400В, 7%</t>
  </si>
  <si>
    <t>INR40157</t>
  </si>
  <si>
    <t>Дросель трифазний 15кВАр, 400В, 7%</t>
  </si>
  <si>
    <t>INA40207</t>
  </si>
  <si>
    <t>Дросель трифазний 20кВАр, 400В, 7%</t>
  </si>
  <si>
    <t>INA40257</t>
  </si>
  <si>
    <t>Дросель трифазний 25кВАр, 400В, 7%</t>
  </si>
  <si>
    <t>5.Фільтри гармонік</t>
  </si>
  <si>
    <t>SINAF440050</t>
  </si>
  <si>
    <t>Активний фільтр SINAF 2.0 400В 50А 50Hz, 3 фази плюс нейтраль</t>
  </si>
  <si>
    <t>HPF240047</t>
  </si>
  <si>
    <t>Фільтр високих частот 47А 400В 50Гц</t>
  </si>
  <si>
    <t>6.Аксесуари</t>
  </si>
  <si>
    <t>H28005000</t>
  </si>
  <si>
    <t>Кришка пластикова захисна діаметром 50мм, для конденсаторів 2,5кВАр и 1,25кВАр</t>
  </si>
  <si>
    <t>H28007500</t>
  </si>
  <si>
    <t>Кришка пластикова захисна діаметром 75мм, для конденсатора 5кВАр</t>
  </si>
  <si>
    <t>H19085601</t>
  </si>
  <si>
    <t>Кришка пластикова захисна діаметром 85мм, для конденсаторів 10кВАр і 12,5кВАр</t>
  </si>
  <si>
    <t>H19110601</t>
  </si>
  <si>
    <t>Кришка пластикова захисна діаметром 110мм, для конденсаторів 15кВАр, 20кВАр та 25кВАр</t>
  </si>
  <si>
    <t>J30010200</t>
  </si>
  <si>
    <t>Резистор швидкого розряду 2х220кОм, 2Вт</t>
  </si>
  <si>
    <t>7.Пристрої компенсаціі реактивної потужності</t>
  </si>
  <si>
    <t>i0150001</t>
  </si>
  <si>
    <t>Установка компенсаціі реактивної потужності 0,4кВ 12,5кВАр 2,5.4-У3</t>
  </si>
  <si>
    <t>i0150002</t>
  </si>
  <si>
    <t>Установка компенсаціі реактивної потужності 0,4кВ 25кВАр 5.3-У3</t>
  </si>
  <si>
    <t>i0150005</t>
  </si>
  <si>
    <t>Установка компенсаціі реактивної потужності 0,4кВ 30кВАр 10.3-У3</t>
  </si>
  <si>
    <t>i0150003</t>
  </si>
  <si>
    <t>Установка компенсаціі реактивної потужності 0,4кВ 30кВАр 2,5.5-У3</t>
  </si>
  <si>
    <t>i0150004</t>
  </si>
  <si>
    <t>Установка компенсаціі реактивної потужності 0,4кВ 30кВАр 5.4-У3</t>
  </si>
  <si>
    <t>i0150007</t>
  </si>
  <si>
    <t>Установка компенсаціі реактивної потужності 0,4кВ 40кВАр 10.4-У3</t>
  </si>
  <si>
    <t>i0150006</t>
  </si>
  <si>
    <t>Установка компенсаціі реактивної потужності 0,4кВ 40кВАр 2,5.5-У3</t>
  </si>
  <si>
    <t>i0150010</t>
  </si>
  <si>
    <t>Установка компенсаціі реактивної потужності 0,4кВ 50кВАр 10.5-У3</t>
  </si>
  <si>
    <t>i0150008</t>
  </si>
  <si>
    <t>Установка компенсаціі реактивної потужності 0,4кВ 50кВАр 2,5.6-У3</t>
  </si>
  <si>
    <t>i0150009</t>
  </si>
  <si>
    <t>Установка компенсаціі реактивної потужності 0,4кВ 50кВАр 5.5-У3</t>
  </si>
  <si>
    <t>i0150011</t>
  </si>
  <si>
    <t>Установка компенсаціі реактивної потужності 0,4кВ 60кВАр 5.5-У3</t>
  </si>
  <si>
    <t>i0150012</t>
  </si>
  <si>
    <t>Установка компенсаціі реактивної потужності 0,4кВ 60кВАр 10.4-У3</t>
  </si>
  <si>
    <t>i0150015</t>
  </si>
  <si>
    <t>Установка компенсаціі реактивної потужності 0,4кВ 70кВАр 10.4-У3</t>
  </si>
  <si>
    <t>i0150013</t>
  </si>
  <si>
    <t>Установка компенсаціі реактивної потужності 0,4кВ 70кВАр 2,5.6-У3</t>
  </si>
  <si>
    <t>i0150014</t>
  </si>
  <si>
    <t>Установка компенсаціі реактивної потужності 0,4кВ 70кВАр 5.6 -У3</t>
  </si>
  <si>
    <t>i0150016</t>
  </si>
  <si>
    <t>Установка компенсаціі реактивної потужності 0,4кВ 75кВАр 5.5-У3</t>
  </si>
  <si>
    <t>i0150017</t>
  </si>
  <si>
    <t>Установка компенсаціі реактивної потужності 0,4кВ 80кВАр 5.5-У3</t>
  </si>
  <si>
    <t>i0150019</t>
  </si>
  <si>
    <t>Установка компенсаціі реактивної потужності 0,4кВ 90кВАр 10.4-У3</t>
  </si>
  <si>
    <t>i0150018</t>
  </si>
  <si>
    <t>Установка компенсаціі реактивної потужності 0,4кВ 90кВАр 5.5-У3</t>
  </si>
  <si>
    <t>i0150020</t>
  </si>
  <si>
    <t>Установка компенсаціі реактивної потужності 0,4кВ 100кВАр 2,5.8-У3</t>
  </si>
  <si>
    <t>i0150021</t>
  </si>
  <si>
    <t>Установка компенсаціі реактивної потужності 0,4кВ 100кВАр 5.6-У3</t>
  </si>
  <si>
    <t>i0150022</t>
  </si>
  <si>
    <t>Установка компенсаціі реактивної потужності 0,4кВ 130кВАр 5.6-У3</t>
  </si>
  <si>
    <t>i0150023</t>
  </si>
  <si>
    <t>Установка компенсаціі реактивної потужності 0,4кВ 140кВАр 10.6-У3</t>
  </si>
  <si>
    <t>i0150025</t>
  </si>
  <si>
    <t>Установка компенсаціі реактивної потужності 0,4кВ 150кВАр 10.5-У3</t>
  </si>
  <si>
    <t>i0150024</t>
  </si>
  <si>
    <t>Установка компенсаціі реактивної потужності 0,4кВ 150кВАр 5.6-У3</t>
  </si>
  <si>
    <t>i0150026</t>
  </si>
  <si>
    <t>Установка компенсаціі реактивної потужності 0,4кВ 180кВАр 10.6-У3</t>
  </si>
  <si>
    <t>i0150027</t>
  </si>
  <si>
    <t>Установка компенсаціі реактивної потужності 0,4кВ 180кВАр 20.5-У3</t>
  </si>
  <si>
    <t>i0150028</t>
  </si>
  <si>
    <t>Установка компенсаціі реактивної потужності 0,4кВ 200кВАр 10.7-У3</t>
  </si>
  <si>
    <t>i0150029</t>
  </si>
  <si>
    <t>Установка компенсаціі реактивної потужності 0,4кВ 200кВАр 20.6-У3</t>
  </si>
  <si>
    <t>i0150030</t>
  </si>
  <si>
    <t>Установка компенсаціі реактивної потужності 0,4кВ 220кВАр 10.7-У3</t>
  </si>
  <si>
    <t>i0150031</t>
  </si>
  <si>
    <t>Установка компенсаціі реактивної потужності 0,4кВ 240кВАр 10.7-У3</t>
  </si>
  <si>
    <t>i0150032</t>
  </si>
  <si>
    <t>Установка компенсаціі реактивної потужності 0,4кВ 350кВАр 10.10-У3</t>
  </si>
  <si>
    <t>i0150033</t>
  </si>
  <si>
    <t>Установка компенсаціі реактивної потужності 0,4кВ 400кВАр 10.11-У3</t>
  </si>
  <si>
    <t>i0150034</t>
  </si>
  <si>
    <t>Установка компенсаціі реактивної потужності 0,4кВ 480кВАр 10.12-У3</t>
  </si>
  <si>
    <t>i0150035</t>
  </si>
  <si>
    <t>Установка компенсаціі реактивної потужності 0,4кВ 550кВАр 10.12-У3</t>
  </si>
  <si>
    <t>i0150036</t>
  </si>
  <si>
    <t>Установка компенсаціі реактивної потужності 0,4кВ 630кВАр 10.12-У3</t>
  </si>
  <si>
    <t>3.Контролери реактивної потужності</t>
  </si>
  <si>
    <t>MCAP04230</t>
  </si>
  <si>
    <t>Мережевий аналізатор якості електричної енергії MCA plus (RS-485)</t>
  </si>
  <si>
    <t>MCE12ADV400</t>
  </si>
  <si>
    <t>Регулятор реактивної потужності MCE-12 ADV (на 12 ступенів)</t>
  </si>
  <si>
    <t>MCE06ADV400</t>
  </si>
  <si>
    <t>Регулятор реактивної потужності MCE-6 ADV (на 6 ступенів)</t>
  </si>
  <si>
    <t>PFCL12400</t>
  </si>
  <si>
    <t>Регулятор реактивної потужності PFCL-12 ELITE (на 12 ступенів) з інтерфейсом RS-485</t>
  </si>
  <si>
    <t>19.Елементи систем електроживлення</t>
  </si>
  <si>
    <t>01.Фотоелектричні модулі</t>
  </si>
  <si>
    <t>l050136</t>
  </si>
  <si>
    <t>Полікристалічний фотоелектричний модуль Risen RSM 72-6-320P 320Wp 72 Cells</t>
  </si>
  <si>
    <t>03.Інвертори резервного електроживлення</t>
  </si>
  <si>
    <t>SHUPS1000</t>
  </si>
  <si>
    <t>Інвертор резервного електроживлення VISION Solar Hybrid G 1000 VA, MPPT Charger, AC Charger (не містить акумуляторних батарей)</t>
  </si>
  <si>
    <t>SHUPS5000</t>
  </si>
  <si>
    <t>Інвертор резервного електроживлення VISION Solar Hybrid G 5000 VA, MPPT Charger, AC Charger (не містить акумуляторних батарей)</t>
  </si>
  <si>
    <t>SHUPS5000DM</t>
  </si>
  <si>
    <t>Інвертор резервного електроживлення VISION Solar Hybrid G 5000 VA - DM, ( паралельне підключення до 20кВА) MPPT Charger 2 x 48Vdc-60A, AC Charger (не містить акумуляторних батарей)</t>
  </si>
  <si>
    <t>SHUPS5000TM</t>
  </si>
  <si>
    <t>Інвертор резервного електроживлення VISION Solar Hybrid G 5000 VA - TM, (паралельне підключення до 20кВА)  MPPT Charger 3 x 48Vdc-60A, AC Charger (не містить акумуляторних батарей)</t>
  </si>
  <si>
    <t>2.BUILD.NEXT</t>
  </si>
  <si>
    <t>1.Сітка безпеки</t>
  </si>
  <si>
    <t>anO00019</t>
  </si>
  <si>
    <t>Сітка безпеки щільн. 60 г/кв.м., 3.0х50 м, HDPE.green</t>
  </si>
  <si>
    <t>рул</t>
  </si>
  <si>
    <t>anO00007</t>
  </si>
  <si>
    <t>Сітка безпеки щільн. 95 г/кв.м., 1,9х50 м, HDPE, зелено-чорна</t>
  </si>
  <si>
    <t>anO00001</t>
  </si>
  <si>
    <t>Сітка безпеки щільн. 95 г/кв.м., 3,0х50 м, HDPE, зелено-чорна</t>
  </si>
  <si>
    <t>an000001</t>
  </si>
  <si>
    <t>an000026</t>
  </si>
  <si>
    <t>Сітка безпеки щільн. 130 г/кв.м., 1,9х50 м, HDPE.blue</t>
  </si>
  <si>
    <t>an000027</t>
  </si>
  <si>
    <t>Сітка безпеки щільн. 140 г/кв.м., 1,9х50 м, HDPE.beige</t>
  </si>
  <si>
    <t>an000021</t>
  </si>
  <si>
    <t>Сітка безпеки щільн. 215 г/кв.м., 1,9х50 м, HDPE.green</t>
  </si>
  <si>
    <t>an000024</t>
  </si>
  <si>
    <t>Сітка безпеки затіняюча щільн. 150 г/кв.м., 3.0х50 м, HDPE.beige</t>
  </si>
  <si>
    <t>an000025</t>
  </si>
  <si>
    <t>Сітка безпеки затіняюча щільн. 160 г/кв.м., 3.0х50 м, HDPE.dark green</t>
  </si>
  <si>
    <t>anO00022</t>
  </si>
  <si>
    <t>Сітка безпеки затіняюча щільн. 80 г/кв.м., 3.0х50 м, HDPE.green</t>
  </si>
  <si>
    <t>an000028</t>
  </si>
  <si>
    <t>Сітка захисна 110 г/кв.м., 1,9х50 м, ячейка7 х7мм, HDPE.orange</t>
  </si>
  <si>
    <t>2.Склотканинні сітки</t>
  </si>
  <si>
    <t>bmd002002</t>
  </si>
  <si>
    <t>Склотканинна фасадна штукатурна сітка bmd.glassmesh.F.A, тип F, клас A</t>
  </si>
  <si>
    <t>bmd002001</t>
  </si>
  <si>
    <t>Склотканинна фасадна штукатурна сітка bmd.glassmesh.F.Apl, тип F, клас A+</t>
  </si>
  <si>
    <t>bmd002003</t>
  </si>
  <si>
    <t>Склотканинна фасадна штукатурна сітка bmd.glassmesh.F.B, тип F, клас B</t>
  </si>
  <si>
    <t>bmd002004</t>
  </si>
  <si>
    <t>Склотканинна фасадна штукатурна сітка bmd.glassmesh.F.C, тип F, клас C</t>
  </si>
  <si>
    <t>bn0010014</t>
  </si>
  <si>
    <t>Пластиковий кут з сіткою bn.corner.plast.mesh.d160.2,5.white, 25х25мм, 2,5м</t>
  </si>
  <si>
    <t>bn0010015</t>
  </si>
  <si>
    <t>Кутова металізована паперова стрічка bn.corner.tape.aluminium.5.30.white, 0,05х30м</t>
  </si>
  <si>
    <t>bn0010012</t>
  </si>
  <si>
    <t>Кутова металізована паперова стрічка bn.corner.tape.metal.5.30.white, 0,05х30м</t>
  </si>
  <si>
    <t>bn0010008</t>
  </si>
  <si>
    <t>Склотканинна штукатурна сітка bn.fg.d110.1.50.2,5x2,5.white, 110 г/кв.м, 1х50м, комірка 8х8мм, белая</t>
  </si>
  <si>
    <t>bn0010007</t>
  </si>
  <si>
    <t>Склотканинна штукатурна сітка bn.fg.d130.1.50.2,5x2,5.navy, 130 г/кв.м, 1х50м, комірка 8х8, синяя</t>
  </si>
  <si>
    <t>bn0010016</t>
  </si>
  <si>
    <t>Склотканинна штукатурна сітка bn.fg.d160.1.50.5x5.white, 160 г/кв.м, 1х50м, комірка 5х5, біла</t>
  </si>
  <si>
    <t>bn0010018</t>
  </si>
  <si>
    <t>Склотканинна штукатурна сітка bn.fg.d60.1.50.2,85x2,85.white, 60 г/кв.м, 1х50м, комірка 2,85х2,85, біла</t>
  </si>
  <si>
    <t>b0010010</t>
  </si>
  <si>
    <t>Стрічка ізоляційна buildnext.tape.10.black, чорна (10м)</t>
  </si>
  <si>
    <t>b0010015</t>
  </si>
  <si>
    <t>Стрічка ізоляційна buildnext.tape.10.blue, синя (10м)</t>
  </si>
  <si>
    <t>b0010011</t>
  </si>
  <si>
    <t>Стрічка ізоляційна buildnext.tape.10.red, червона (10м)</t>
  </si>
  <si>
    <t>b0010014</t>
  </si>
  <si>
    <t>Стрічка ізоляційна buildnext.tape.10.white, біла (10м)</t>
  </si>
  <si>
    <t>b0010020</t>
  </si>
  <si>
    <t>Стрічка ізоляційна buildnext.tape.20.black, чорна (20м)</t>
  </si>
  <si>
    <t>b0010025</t>
  </si>
  <si>
    <t>Стрічка ізоляційна buildnext.tape.20.blue, синя (20м)</t>
  </si>
  <si>
    <t>b0010021</t>
  </si>
  <si>
    <t>Стрічка ізоляційна buildnext.tape.20.red, червона (20м)</t>
  </si>
  <si>
    <t>b0010024</t>
  </si>
  <si>
    <t>Стрічка ізоляційна buildnext.tape.20.white, біла (20м)</t>
  </si>
  <si>
    <t>Артикул</t>
  </si>
  <si>
    <t>Упаковка</t>
  </si>
  <si>
    <t>База(РРЦ)</t>
  </si>
  <si>
    <t>Ціна</t>
  </si>
  <si>
    <t>Од.</t>
  </si>
  <si>
    <t>Посилання на сайт</t>
  </si>
  <si>
    <t>Ціни станом на 13.09.2018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</si>
</sst>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&quot; грн&quot;"/>
    <numFmt numFmtId="167" formatCode="#,##0.00&quot; грн&quot;"/>
    <numFmt numFmtId="168" formatCode="0&quot; шт&quot;"/>
  </numFmts>
  <fonts count="7" x14ac:knownFonts="1">
    <font>
      <sz val="8"/>
      <name val="Arial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AFAFA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righ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right" vertical="top" wrapText="1"/>
    </xf>
    <xf numFmtId="0" fontId="0" fillId="7" borderId="4" xfId="0" applyFill="1" applyBorder="1" applyAlignment="1">
      <alignment horizontal="left" vertical="top" wrapText="1"/>
    </xf>
    <xf numFmtId="165" fontId="0" fillId="7" borderId="4" xfId="0" applyNumberFormat="1" applyFill="1" applyBorder="1" applyAlignment="1">
      <alignment horizontal="right" vertical="top" wrapText="1"/>
    </xf>
    <xf numFmtId="0" fontId="0" fillId="7" borderId="4" xfId="0" applyFill="1" applyBorder="1" applyAlignment="1">
      <alignment horizontal="right" vertical="top" wrapText="1"/>
    </xf>
    <xf numFmtId="167" fontId="0" fillId="7" borderId="4" xfId="0" applyNumberFormat="1" applyFill="1" applyBorder="1" applyAlignment="1">
      <alignment horizontal="righ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right" vertical="top" wrapText="1"/>
    </xf>
    <xf numFmtId="168" fontId="0" fillId="7" borderId="4" xfId="0" applyNumberForma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5" fillId="7" borderId="4" xfId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</xdr:colOff>
      <xdr:row>0</xdr:row>
      <xdr:rowOff>12700</xdr:rowOff>
    </xdr:from>
    <xdr:to>
      <xdr:col>6</xdr:col>
      <xdr:colOff>1655855</xdr:colOff>
      <xdr:row>2</xdr:row>
      <xdr:rowOff>151053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2700"/>
          <a:ext cx="8986930" cy="900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8276"/>
  <sheetViews>
    <sheetView tabSelected="1" workbookViewId="0">
      <pane ySplit="7" topLeftCell="A8" activePane="bottomLeft" state="frozen"/>
      <selection pane="bottomLeft" activeCell="B3" sqref="B3:B4"/>
    </sheetView>
  </sheetViews>
  <sheetFormatPr defaultColWidth="10.5" defaultRowHeight="11.45" customHeight="1" outlineLevelRow="7" x14ac:dyDescent="0.2"/>
  <cols>
    <col min="1" max="1" width="1.1640625" style="1" customWidth="1"/>
    <col min="2" max="2" width="16.83203125" style="1" customWidth="1"/>
    <col min="3" max="3" width="76.83203125" style="1" customWidth="1"/>
    <col min="4" max="4" width="10.83203125" style="1" customWidth="1"/>
    <col min="5" max="5" width="15.33203125" style="1" customWidth="1"/>
    <col min="6" max="6" width="8.83203125" style="1" customWidth="1"/>
    <col min="7" max="7" width="29.83203125" style="1" customWidth="1"/>
  </cols>
  <sheetData>
    <row r="1" spans="1:7" ht="50.1" customHeight="1" x14ac:dyDescent="0.2"/>
    <row r="2" spans="1:7" ht="11.1" customHeight="1" x14ac:dyDescent="0.2"/>
    <row r="3" spans="1:7" s="2" customFormat="1" ht="12" customHeight="1" x14ac:dyDescent="0.2">
      <c r="B3" s="32" t="s">
        <v>15163</v>
      </c>
      <c r="C3" s="31"/>
      <c r="D3" s="31"/>
    </row>
    <row r="4" spans="1:7" s="2" customFormat="1" ht="12" customHeight="1" x14ac:dyDescent="0.2">
      <c r="B4" s="32"/>
    </row>
    <row r="5" spans="1:7" s="1" customFormat="1" ht="12" customHeight="1" x14ac:dyDescent="0.2">
      <c r="B5" s="43" t="s">
        <v>15157</v>
      </c>
      <c r="C5" s="24" t="s">
        <v>0</v>
      </c>
      <c r="D5" s="21" t="s">
        <v>15158</v>
      </c>
      <c r="E5" s="23" t="s">
        <v>15159</v>
      </c>
      <c r="F5" s="23"/>
      <c r="G5" s="24" t="s">
        <v>15162</v>
      </c>
    </row>
    <row r="6" spans="1:7" s="1" customFormat="1" ht="12" customHeight="1" x14ac:dyDescent="0.2">
      <c r="B6" s="44"/>
      <c r="C6" s="25"/>
      <c r="D6" s="22"/>
      <c r="E6" s="3" t="s">
        <v>15160</v>
      </c>
      <c r="F6" s="3" t="s">
        <v>15161</v>
      </c>
      <c r="G6" s="25"/>
    </row>
    <row r="7" spans="1:7" s="30" customFormat="1" ht="12" x14ac:dyDescent="0.2">
      <c r="A7" s="26"/>
      <c r="B7" s="42"/>
      <c r="C7" s="33" t="s">
        <v>1</v>
      </c>
      <c r="D7" s="27"/>
      <c r="E7" s="28"/>
      <c r="F7" s="28"/>
      <c r="G7" s="29"/>
    </row>
    <row r="8" spans="1:7" ht="12" outlineLevel="1" x14ac:dyDescent="0.2">
      <c r="B8" s="6"/>
      <c r="C8" s="34" t="s">
        <v>2</v>
      </c>
      <c r="D8" s="6"/>
      <c r="E8" s="7"/>
      <c r="F8" s="7"/>
      <c r="G8" s="6"/>
    </row>
    <row r="9" spans="1:7" ht="12" outlineLevel="2" x14ac:dyDescent="0.2">
      <c r="B9" s="8"/>
      <c r="C9" s="35" t="s">
        <v>3</v>
      </c>
      <c r="D9" s="8"/>
      <c r="E9" s="9"/>
      <c r="F9" s="9"/>
      <c r="G9" s="8"/>
    </row>
    <row r="10" spans="1:7" ht="12" outlineLevel="3" x14ac:dyDescent="0.2">
      <c r="B10" s="10"/>
      <c r="C10" s="36" t="s">
        <v>4</v>
      </c>
      <c r="D10" s="10"/>
      <c r="E10" s="11"/>
      <c r="F10" s="11"/>
      <c r="G10" s="10"/>
    </row>
    <row r="11" spans="1:7" ht="12" outlineLevel="4" x14ac:dyDescent="0.2">
      <c r="B11" s="12"/>
      <c r="C11" s="37" t="s">
        <v>5</v>
      </c>
      <c r="D11" s="12"/>
      <c r="E11" s="13"/>
      <c r="F11" s="13"/>
      <c r="G11" s="12"/>
    </row>
    <row r="12" spans="1:7" ht="11.25" outlineLevel="5" x14ac:dyDescent="0.2">
      <c r="B12" s="14" t="s">
        <v>6</v>
      </c>
      <c r="C12" s="14" t="s">
        <v>7</v>
      </c>
      <c r="D12" s="14">
        <v>12</v>
      </c>
      <c r="E12" s="15">
        <v>48.9</v>
      </c>
      <c r="F12" s="16" t="s">
        <v>8</v>
      </c>
      <c r="G12" s="38" t="str">
        <f>HYPERLINK("http://enext.ua/s001001")</f>
        <v>http://enext.ua/s001001</v>
      </c>
    </row>
    <row r="13" spans="1:7" ht="11.25" outlineLevel="5" x14ac:dyDescent="0.2">
      <c r="B13" s="14" t="s">
        <v>9</v>
      </c>
      <c r="C13" s="14" t="s">
        <v>10</v>
      </c>
      <c r="D13" s="14">
        <v>12</v>
      </c>
      <c r="E13" s="15">
        <v>48.9</v>
      </c>
      <c r="F13" s="16" t="s">
        <v>8</v>
      </c>
      <c r="G13" s="38" t="str">
        <f>HYPERLINK("http://enext.ua/s001002")</f>
        <v>http://enext.ua/s001002</v>
      </c>
    </row>
    <row r="14" spans="1:7" ht="11.25" outlineLevel="5" x14ac:dyDescent="0.2">
      <c r="B14" s="14" t="s">
        <v>11</v>
      </c>
      <c r="C14" s="14" t="s">
        <v>12</v>
      </c>
      <c r="D14" s="14">
        <v>12</v>
      </c>
      <c r="E14" s="15">
        <v>48.9</v>
      </c>
      <c r="F14" s="16" t="s">
        <v>8</v>
      </c>
      <c r="G14" s="38" t="str">
        <f>HYPERLINK("http://enext.ua/s001003")</f>
        <v>http://enext.ua/s001003</v>
      </c>
    </row>
    <row r="15" spans="1:7" ht="11.25" outlineLevel="5" x14ac:dyDescent="0.2">
      <c r="B15" s="14" t="s">
        <v>13</v>
      </c>
      <c r="C15" s="14" t="s">
        <v>14</v>
      </c>
      <c r="D15" s="14">
        <v>12</v>
      </c>
      <c r="E15" s="15">
        <v>48.9</v>
      </c>
      <c r="F15" s="16" t="s">
        <v>8</v>
      </c>
      <c r="G15" s="38" t="str">
        <f>HYPERLINK("http://enext.ua/s001004")</f>
        <v>http://enext.ua/s001004</v>
      </c>
    </row>
    <row r="16" spans="1:7" ht="11.25" outlineLevel="5" x14ac:dyDescent="0.2">
      <c r="B16" s="14" t="s">
        <v>15</v>
      </c>
      <c r="C16" s="14" t="s">
        <v>16</v>
      </c>
      <c r="D16" s="14">
        <v>12</v>
      </c>
      <c r="E16" s="15">
        <v>48.9</v>
      </c>
      <c r="F16" s="16" t="s">
        <v>8</v>
      </c>
      <c r="G16" s="38" t="str">
        <f>HYPERLINK("http://enext.ua/s001005")</f>
        <v>http://enext.ua/s001005</v>
      </c>
    </row>
    <row r="17" spans="2:7" ht="11.25" outlineLevel="5" x14ac:dyDescent="0.2">
      <c r="B17" s="14" t="s">
        <v>17</v>
      </c>
      <c r="C17" s="14" t="s">
        <v>18</v>
      </c>
      <c r="D17" s="14">
        <v>12</v>
      </c>
      <c r="E17" s="15">
        <v>43.25</v>
      </c>
      <c r="F17" s="16" t="s">
        <v>8</v>
      </c>
      <c r="G17" s="38" t="str">
        <f>HYPERLINK("http://enext.ua/s001006")</f>
        <v>http://enext.ua/s001006</v>
      </c>
    </row>
    <row r="18" spans="2:7" ht="11.25" outlineLevel="5" x14ac:dyDescent="0.2">
      <c r="B18" s="14" t="s">
        <v>19</v>
      </c>
      <c r="C18" s="14" t="s">
        <v>20</v>
      </c>
      <c r="D18" s="14">
        <v>12</v>
      </c>
      <c r="E18" s="15">
        <v>43.25</v>
      </c>
      <c r="F18" s="16" t="s">
        <v>8</v>
      </c>
      <c r="G18" s="38" t="str">
        <f>HYPERLINK("http://enext.ua/s001007")</f>
        <v>http://enext.ua/s001007</v>
      </c>
    </row>
    <row r="19" spans="2:7" ht="11.25" outlineLevel="5" x14ac:dyDescent="0.2">
      <c r="B19" s="14" t="s">
        <v>21</v>
      </c>
      <c r="C19" s="14" t="s">
        <v>22</v>
      </c>
      <c r="D19" s="14">
        <v>12</v>
      </c>
      <c r="E19" s="15">
        <v>43.25</v>
      </c>
      <c r="F19" s="16" t="s">
        <v>8</v>
      </c>
      <c r="G19" s="38" t="str">
        <f>HYPERLINK("http://enext.ua/s001008")</f>
        <v>http://enext.ua/s001008</v>
      </c>
    </row>
    <row r="20" spans="2:7" ht="11.25" outlineLevel="5" x14ac:dyDescent="0.2">
      <c r="B20" s="14" t="s">
        <v>23</v>
      </c>
      <c r="C20" s="14" t="s">
        <v>24</v>
      </c>
      <c r="D20" s="14">
        <v>12</v>
      </c>
      <c r="E20" s="15">
        <v>43.25</v>
      </c>
      <c r="F20" s="16" t="s">
        <v>8</v>
      </c>
      <c r="G20" s="38" t="str">
        <f>HYPERLINK("http://enext.ua/s001009")</f>
        <v>http://enext.ua/s001009</v>
      </c>
    </row>
    <row r="21" spans="2:7" ht="11.25" outlineLevel="5" x14ac:dyDescent="0.2">
      <c r="B21" s="14" t="s">
        <v>25</v>
      </c>
      <c r="C21" s="14" t="s">
        <v>26</v>
      </c>
      <c r="D21" s="14">
        <v>12</v>
      </c>
      <c r="E21" s="15">
        <v>43.25</v>
      </c>
      <c r="F21" s="16" t="s">
        <v>8</v>
      </c>
      <c r="G21" s="38" t="str">
        <f>HYPERLINK("http://enext.ua/s001010")</f>
        <v>http://enext.ua/s001010</v>
      </c>
    </row>
    <row r="22" spans="2:7" ht="11.25" outlineLevel="5" x14ac:dyDescent="0.2">
      <c r="B22" s="14" t="s">
        <v>27</v>
      </c>
      <c r="C22" s="14" t="s">
        <v>28</v>
      </c>
      <c r="D22" s="14">
        <v>12</v>
      </c>
      <c r="E22" s="15">
        <v>45.41</v>
      </c>
      <c r="F22" s="16" t="s">
        <v>8</v>
      </c>
      <c r="G22" s="38" t="str">
        <f>HYPERLINK("http://enext.ua/s001011")</f>
        <v>http://enext.ua/s001011</v>
      </c>
    </row>
    <row r="23" spans="2:7" ht="11.25" outlineLevel="5" x14ac:dyDescent="0.2">
      <c r="B23" s="14" t="s">
        <v>29</v>
      </c>
      <c r="C23" s="14" t="s">
        <v>30</v>
      </c>
      <c r="D23" s="14">
        <v>12</v>
      </c>
      <c r="E23" s="15">
        <v>48.9</v>
      </c>
      <c r="F23" s="16" t="s">
        <v>8</v>
      </c>
      <c r="G23" s="38" t="str">
        <f>HYPERLINK("http://enext.ua/s001012")</f>
        <v>http://enext.ua/s001012</v>
      </c>
    </row>
    <row r="24" spans="2:7" ht="11.25" outlineLevel="5" x14ac:dyDescent="0.2">
      <c r="B24" s="14" t="s">
        <v>31</v>
      </c>
      <c r="C24" s="14" t="s">
        <v>32</v>
      </c>
      <c r="D24" s="14">
        <v>12</v>
      </c>
      <c r="E24" s="15">
        <v>48.9</v>
      </c>
      <c r="F24" s="16" t="s">
        <v>8</v>
      </c>
      <c r="G24" s="38" t="str">
        <f>HYPERLINK("http://enext.ua/s001013")</f>
        <v>http://enext.ua/s001013</v>
      </c>
    </row>
    <row r="25" spans="2:7" ht="11.25" outlineLevel="5" x14ac:dyDescent="0.2">
      <c r="B25" s="14" t="s">
        <v>33</v>
      </c>
      <c r="C25" s="14" t="s">
        <v>34</v>
      </c>
      <c r="D25" s="14">
        <v>12</v>
      </c>
      <c r="E25" s="15">
        <v>48.9</v>
      </c>
      <c r="F25" s="16" t="s">
        <v>8</v>
      </c>
      <c r="G25" s="38" t="str">
        <f>HYPERLINK("http://enext.ua/s001014")</f>
        <v>http://enext.ua/s001014</v>
      </c>
    </row>
    <row r="26" spans="2:7" ht="11.25" outlineLevel="5" x14ac:dyDescent="0.2">
      <c r="B26" s="14" t="s">
        <v>35</v>
      </c>
      <c r="C26" s="14" t="s">
        <v>36</v>
      </c>
      <c r="D26" s="14">
        <v>6</v>
      </c>
      <c r="E26" s="15">
        <v>85.54</v>
      </c>
      <c r="F26" s="16" t="s">
        <v>8</v>
      </c>
      <c r="G26" s="38" t="str">
        <f>HYPERLINK("http://enext.ua/s001015")</f>
        <v>http://enext.ua/s001015</v>
      </c>
    </row>
    <row r="27" spans="2:7" ht="11.25" outlineLevel="5" x14ac:dyDescent="0.2">
      <c r="B27" s="14" t="s">
        <v>37</v>
      </c>
      <c r="C27" s="14" t="s">
        <v>38</v>
      </c>
      <c r="D27" s="14">
        <v>6</v>
      </c>
      <c r="E27" s="15">
        <v>85.54</v>
      </c>
      <c r="F27" s="16" t="s">
        <v>8</v>
      </c>
      <c r="G27" s="38" t="str">
        <f>HYPERLINK("http://enext.ua/s001016")</f>
        <v>http://enext.ua/s001016</v>
      </c>
    </row>
    <row r="28" spans="2:7" ht="11.25" outlineLevel="5" x14ac:dyDescent="0.2">
      <c r="B28" s="14" t="s">
        <v>39</v>
      </c>
      <c r="C28" s="14" t="s">
        <v>40</v>
      </c>
      <c r="D28" s="14">
        <v>6</v>
      </c>
      <c r="E28" s="15">
        <v>85.54</v>
      </c>
      <c r="F28" s="16" t="s">
        <v>8</v>
      </c>
      <c r="G28" s="38" t="str">
        <f>HYPERLINK("http://enext.ua/s001017")</f>
        <v>http://enext.ua/s001017</v>
      </c>
    </row>
    <row r="29" spans="2:7" ht="11.25" outlineLevel="5" x14ac:dyDescent="0.2">
      <c r="B29" s="14" t="s">
        <v>41</v>
      </c>
      <c r="C29" s="14" t="s">
        <v>42</v>
      </c>
      <c r="D29" s="14">
        <v>6</v>
      </c>
      <c r="E29" s="15">
        <v>85.54</v>
      </c>
      <c r="F29" s="16" t="s">
        <v>8</v>
      </c>
      <c r="G29" s="38" t="str">
        <f>HYPERLINK("http://enext.ua/s001018")</f>
        <v>http://enext.ua/s001018</v>
      </c>
    </row>
    <row r="30" spans="2:7" ht="11.25" outlineLevel="5" x14ac:dyDescent="0.2">
      <c r="B30" s="14" t="s">
        <v>43</v>
      </c>
      <c r="C30" s="14" t="s">
        <v>44</v>
      </c>
      <c r="D30" s="14">
        <v>6</v>
      </c>
      <c r="E30" s="15">
        <v>85.54</v>
      </c>
      <c r="F30" s="16" t="s">
        <v>8</v>
      </c>
      <c r="G30" s="38" t="str">
        <f>HYPERLINK("http://enext.ua/s001019")</f>
        <v>http://enext.ua/s001019</v>
      </c>
    </row>
    <row r="31" spans="2:7" ht="11.25" outlineLevel="5" x14ac:dyDescent="0.2">
      <c r="B31" s="14" t="s">
        <v>45</v>
      </c>
      <c r="C31" s="14" t="s">
        <v>46</v>
      </c>
      <c r="D31" s="14">
        <v>6</v>
      </c>
      <c r="E31" s="15">
        <v>89.81</v>
      </c>
      <c r="F31" s="16" t="s">
        <v>8</v>
      </c>
      <c r="G31" s="38" t="str">
        <f>HYPERLINK("http://enext.ua/s001020")</f>
        <v>http://enext.ua/s001020</v>
      </c>
    </row>
    <row r="32" spans="2:7" ht="11.25" outlineLevel="5" x14ac:dyDescent="0.2">
      <c r="B32" s="14" t="s">
        <v>47</v>
      </c>
      <c r="C32" s="14" t="s">
        <v>48</v>
      </c>
      <c r="D32" s="14">
        <v>6</v>
      </c>
      <c r="E32" s="15">
        <v>96.05</v>
      </c>
      <c r="F32" s="16" t="s">
        <v>8</v>
      </c>
      <c r="G32" s="38" t="str">
        <f>HYPERLINK("http://enext.ua/s001021")</f>
        <v>http://enext.ua/s001021</v>
      </c>
    </row>
    <row r="33" spans="2:7" ht="11.25" outlineLevel="5" x14ac:dyDescent="0.2">
      <c r="B33" s="14" t="s">
        <v>49</v>
      </c>
      <c r="C33" s="14" t="s">
        <v>50</v>
      </c>
      <c r="D33" s="14">
        <v>6</v>
      </c>
      <c r="E33" s="15">
        <v>96.05</v>
      </c>
      <c r="F33" s="16" t="s">
        <v>8</v>
      </c>
      <c r="G33" s="38" t="str">
        <f>HYPERLINK("http://enext.ua/s001022")</f>
        <v>http://enext.ua/s001022</v>
      </c>
    </row>
    <row r="34" spans="2:7" ht="11.25" outlineLevel="5" x14ac:dyDescent="0.2">
      <c r="B34" s="14" t="s">
        <v>51</v>
      </c>
      <c r="C34" s="14" t="s">
        <v>52</v>
      </c>
      <c r="D34" s="14">
        <v>6</v>
      </c>
      <c r="E34" s="15">
        <v>96.05</v>
      </c>
      <c r="F34" s="16" t="s">
        <v>8</v>
      </c>
      <c r="G34" s="38" t="str">
        <f>HYPERLINK("http://enext.ua/s001023")</f>
        <v>http://enext.ua/s001023</v>
      </c>
    </row>
    <row r="35" spans="2:7" ht="11.25" outlineLevel="5" x14ac:dyDescent="0.2">
      <c r="B35" s="14" t="s">
        <v>53</v>
      </c>
      <c r="C35" s="14" t="s">
        <v>54</v>
      </c>
      <c r="D35" s="14">
        <v>4</v>
      </c>
      <c r="E35" s="15">
        <v>127.35</v>
      </c>
      <c r="F35" s="16" t="s">
        <v>8</v>
      </c>
      <c r="G35" s="38" t="str">
        <f>HYPERLINK("http://enext.ua/s001024")</f>
        <v>http://enext.ua/s001024</v>
      </c>
    </row>
    <row r="36" spans="2:7" ht="11.25" outlineLevel="5" x14ac:dyDescent="0.2">
      <c r="B36" s="14" t="s">
        <v>55</v>
      </c>
      <c r="C36" s="14" t="s">
        <v>56</v>
      </c>
      <c r="D36" s="14">
        <v>4</v>
      </c>
      <c r="E36" s="15">
        <v>127.35</v>
      </c>
      <c r="F36" s="16" t="s">
        <v>8</v>
      </c>
      <c r="G36" s="38" t="str">
        <f>HYPERLINK("http://enext.ua/s001025")</f>
        <v>http://enext.ua/s001025</v>
      </c>
    </row>
    <row r="37" spans="2:7" ht="11.25" outlineLevel="5" x14ac:dyDescent="0.2">
      <c r="B37" s="14" t="s">
        <v>57</v>
      </c>
      <c r="C37" s="14" t="s">
        <v>58</v>
      </c>
      <c r="D37" s="14">
        <v>4</v>
      </c>
      <c r="E37" s="15">
        <v>127.35</v>
      </c>
      <c r="F37" s="16" t="s">
        <v>8</v>
      </c>
      <c r="G37" s="38" t="str">
        <f>HYPERLINK("http://enext.ua/s001026")</f>
        <v>http://enext.ua/s001026</v>
      </c>
    </row>
    <row r="38" spans="2:7" ht="11.25" outlineLevel="5" x14ac:dyDescent="0.2">
      <c r="B38" s="14" t="s">
        <v>59</v>
      </c>
      <c r="C38" s="14" t="s">
        <v>60</v>
      </c>
      <c r="D38" s="14">
        <v>4</v>
      </c>
      <c r="E38" s="15">
        <v>127.35</v>
      </c>
      <c r="F38" s="16" t="s">
        <v>8</v>
      </c>
      <c r="G38" s="38" t="str">
        <f>HYPERLINK("http://enext.ua/s001027")</f>
        <v>http://enext.ua/s001027</v>
      </c>
    </row>
    <row r="39" spans="2:7" ht="11.25" outlineLevel="5" x14ac:dyDescent="0.2">
      <c r="B39" s="14" t="s">
        <v>61</v>
      </c>
      <c r="C39" s="14" t="s">
        <v>62</v>
      </c>
      <c r="D39" s="14">
        <v>4</v>
      </c>
      <c r="E39" s="15">
        <v>127.35</v>
      </c>
      <c r="F39" s="16" t="s">
        <v>8</v>
      </c>
      <c r="G39" s="38" t="str">
        <f>HYPERLINK("http://enext.ua/s001028")</f>
        <v>http://enext.ua/s001028</v>
      </c>
    </row>
    <row r="40" spans="2:7" ht="11.25" outlineLevel="5" x14ac:dyDescent="0.2">
      <c r="B40" s="14" t="s">
        <v>63</v>
      </c>
      <c r="C40" s="14" t="s">
        <v>64</v>
      </c>
      <c r="D40" s="14">
        <v>4</v>
      </c>
      <c r="E40" s="15">
        <v>133.72</v>
      </c>
      <c r="F40" s="16" t="s">
        <v>8</v>
      </c>
      <c r="G40" s="38" t="str">
        <f>HYPERLINK("http://enext.ua/s001029")</f>
        <v>http://enext.ua/s001029</v>
      </c>
    </row>
    <row r="41" spans="2:7" ht="11.25" outlineLevel="5" x14ac:dyDescent="0.2">
      <c r="B41" s="14" t="s">
        <v>65</v>
      </c>
      <c r="C41" s="14" t="s">
        <v>66</v>
      </c>
      <c r="D41" s="14">
        <v>4</v>
      </c>
      <c r="E41" s="15">
        <v>144.19999999999999</v>
      </c>
      <c r="F41" s="16" t="s">
        <v>8</v>
      </c>
      <c r="G41" s="38" t="str">
        <f>HYPERLINK("http://enext.ua/s001030")</f>
        <v>http://enext.ua/s001030</v>
      </c>
    </row>
    <row r="42" spans="2:7" ht="11.25" outlineLevel="5" x14ac:dyDescent="0.2">
      <c r="B42" s="14" t="s">
        <v>67</v>
      </c>
      <c r="C42" s="14" t="s">
        <v>68</v>
      </c>
      <c r="D42" s="14">
        <v>4</v>
      </c>
      <c r="E42" s="15">
        <v>144.19999999999999</v>
      </c>
      <c r="F42" s="16" t="s">
        <v>8</v>
      </c>
      <c r="G42" s="38" t="str">
        <f>HYPERLINK("http://enext.ua/s001031")</f>
        <v>http://enext.ua/s001031</v>
      </c>
    </row>
    <row r="43" spans="2:7" ht="11.25" outlineLevel="5" x14ac:dyDescent="0.2">
      <c r="B43" s="14" t="s">
        <v>69</v>
      </c>
      <c r="C43" s="14" t="s">
        <v>70</v>
      </c>
      <c r="D43" s="14">
        <v>4</v>
      </c>
      <c r="E43" s="15">
        <v>144.19999999999999</v>
      </c>
      <c r="F43" s="16" t="s">
        <v>8</v>
      </c>
      <c r="G43" s="38" t="str">
        <f>HYPERLINK("http://enext.ua/s001032")</f>
        <v>http://enext.ua/s001032</v>
      </c>
    </row>
    <row r="44" spans="2:7" ht="12" outlineLevel="4" x14ac:dyDescent="0.2">
      <c r="B44" s="12"/>
      <c r="C44" s="37" t="s">
        <v>71</v>
      </c>
      <c r="D44" s="12"/>
      <c r="E44" s="13"/>
      <c r="F44" s="13"/>
      <c r="G44" s="12"/>
    </row>
    <row r="45" spans="2:7" ht="11.25" outlineLevel="5" x14ac:dyDescent="0.2">
      <c r="B45" s="14" t="s">
        <v>72</v>
      </c>
      <c r="C45" s="14" t="s">
        <v>73</v>
      </c>
      <c r="D45" s="14">
        <v>12</v>
      </c>
      <c r="E45" s="15">
        <v>54.33</v>
      </c>
      <c r="F45" s="16" t="s">
        <v>8</v>
      </c>
      <c r="G45" s="38" t="str">
        <f>HYPERLINK("http://enext.ua/s002001")</f>
        <v>http://enext.ua/s002001</v>
      </c>
    </row>
    <row r="46" spans="2:7" ht="11.25" outlineLevel="5" x14ac:dyDescent="0.2">
      <c r="B46" s="14" t="s">
        <v>74</v>
      </c>
      <c r="C46" s="14" t="s">
        <v>75</v>
      </c>
      <c r="D46" s="14">
        <v>12</v>
      </c>
      <c r="E46" s="15">
        <v>54.33</v>
      </c>
      <c r="F46" s="16" t="s">
        <v>8</v>
      </c>
      <c r="G46" s="38" t="str">
        <f>HYPERLINK("http://enext.ua/s002002")</f>
        <v>http://enext.ua/s002002</v>
      </c>
    </row>
    <row r="47" spans="2:7" ht="11.25" outlineLevel="5" x14ac:dyDescent="0.2">
      <c r="B47" s="14" t="s">
        <v>76</v>
      </c>
      <c r="C47" s="14" t="s">
        <v>77</v>
      </c>
      <c r="D47" s="14">
        <v>12</v>
      </c>
      <c r="E47" s="15">
        <v>54.33</v>
      </c>
      <c r="F47" s="16" t="s">
        <v>8</v>
      </c>
      <c r="G47" s="38" t="str">
        <f>HYPERLINK("http://enext.ua/s002003")</f>
        <v>http://enext.ua/s002003</v>
      </c>
    </row>
    <row r="48" spans="2:7" ht="11.25" outlineLevel="5" x14ac:dyDescent="0.2">
      <c r="B48" s="14" t="s">
        <v>78</v>
      </c>
      <c r="C48" s="14" t="s">
        <v>79</v>
      </c>
      <c r="D48" s="14">
        <v>12</v>
      </c>
      <c r="E48" s="15">
        <v>54.33</v>
      </c>
      <c r="F48" s="16" t="s">
        <v>8</v>
      </c>
      <c r="G48" s="38" t="str">
        <f>HYPERLINK("http://enext.ua/s002004")</f>
        <v>http://enext.ua/s002004</v>
      </c>
    </row>
    <row r="49" spans="2:7" ht="11.25" outlineLevel="5" x14ac:dyDescent="0.2">
      <c r="B49" s="14" t="s">
        <v>80</v>
      </c>
      <c r="C49" s="14" t="s">
        <v>81</v>
      </c>
      <c r="D49" s="14">
        <v>12</v>
      </c>
      <c r="E49" s="15">
        <v>54.33</v>
      </c>
      <c r="F49" s="16" t="s">
        <v>8</v>
      </c>
      <c r="G49" s="38" t="str">
        <f>HYPERLINK("http://enext.ua/s002005")</f>
        <v>http://enext.ua/s002005</v>
      </c>
    </row>
    <row r="50" spans="2:7" ht="11.25" outlineLevel="5" x14ac:dyDescent="0.2">
      <c r="B50" s="14" t="s">
        <v>82</v>
      </c>
      <c r="C50" s="14" t="s">
        <v>83</v>
      </c>
      <c r="D50" s="14">
        <v>12</v>
      </c>
      <c r="E50" s="15">
        <v>48.05</v>
      </c>
      <c r="F50" s="16" t="s">
        <v>8</v>
      </c>
      <c r="G50" s="38" t="str">
        <f>HYPERLINK("http://enext.ua/s002006")</f>
        <v>http://enext.ua/s002006</v>
      </c>
    </row>
    <row r="51" spans="2:7" ht="11.25" outlineLevel="5" x14ac:dyDescent="0.2">
      <c r="B51" s="14" t="s">
        <v>84</v>
      </c>
      <c r="C51" s="14" t="s">
        <v>85</v>
      </c>
      <c r="D51" s="14">
        <v>12</v>
      </c>
      <c r="E51" s="15">
        <v>48.05</v>
      </c>
      <c r="F51" s="16" t="s">
        <v>8</v>
      </c>
      <c r="G51" s="38" t="str">
        <f>HYPERLINK("http://enext.ua/s002007")</f>
        <v>http://enext.ua/s002007</v>
      </c>
    </row>
    <row r="52" spans="2:7" ht="11.25" outlineLevel="5" x14ac:dyDescent="0.2">
      <c r="B52" s="14" t="s">
        <v>86</v>
      </c>
      <c r="C52" s="14" t="s">
        <v>87</v>
      </c>
      <c r="D52" s="14">
        <v>12</v>
      </c>
      <c r="E52" s="15">
        <v>48.05</v>
      </c>
      <c r="F52" s="16" t="s">
        <v>8</v>
      </c>
      <c r="G52" s="38" t="str">
        <f>HYPERLINK("http://enext.ua/s002008")</f>
        <v>http://enext.ua/s002008</v>
      </c>
    </row>
    <row r="53" spans="2:7" ht="11.25" outlineLevel="5" x14ac:dyDescent="0.2">
      <c r="B53" s="14" t="s">
        <v>88</v>
      </c>
      <c r="C53" s="14" t="s">
        <v>89</v>
      </c>
      <c r="D53" s="14">
        <v>12</v>
      </c>
      <c r="E53" s="15">
        <v>48.05</v>
      </c>
      <c r="F53" s="16" t="s">
        <v>8</v>
      </c>
      <c r="G53" s="38" t="str">
        <f>HYPERLINK("http://enext.ua/s002009")</f>
        <v>http://enext.ua/s002009</v>
      </c>
    </row>
    <row r="54" spans="2:7" ht="11.25" outlineLevel="5" x14ac:dyDescent="0.2">
      <c r="B54" s="14" t="s">
        <v>90</v>
      </c>
      <c r="C54" s="14" t="s">
        <v>91</v>
      </c>
      <c r="D54" s="14">
        <v>12</v>
      </c>
      <c r="E54" s="15">
        <v>48.05</v>
      </c>
      <c r="F54" s="16" t="s">
        <v>8</v>
      </c>
      <c r="G54" s="38" t="str">
        <f>HYPERLINK("http://enext.ua/s002010")</f>
        <v>http://enext.ua/s002010</v>
      </c>
    </row>
    <row r="55" spans="2:7" ht="11.25" outlineLevel="5" x14ac:dyDescent="0.2">
      <c r="B55" s="14" t="s">
        <v>92</v>
      </c>
      <c r="C55" s="14" t="s">
        <v>93</v>
      </c>
      <c r="D55" s="14">
        <v>12</v>
      </c>
      <c r="E55" s="15">
        <v>50.45</v>
      </c>
      <c r="F55" s="16" t="s">
        <v>8</v>
      </c>
      <c r="G55" s="38" t="str">
        <f>HYPERLINK("http://enext.ua/s002011")</f>
        <v>http://enext.ua/s002011</v>
      </c>
    </row>
    <row r="56" spans="2:7" ht="11.25" outlineLevel="5" x14ac:dyDescent="0.2">
      <c r="B56" s="14" t="s">
        <v>94</v>
      </c>
      <c r="C56" s="14" t="s">
        <v>95</v>
      </c>
      <c r="D56" s="14">
        <v>12</v>
      </c>
      <c r="E56" s="15">
        <v>54.33</v>
      </c>
      <c r="F56" s="16" t="s">
        <v>8</v>
      </c>
      <c r="G56" s="38" t="str">
        <f>HYPERLINK("http://enext.ua/s002012")</f>
        <v>http://enext.ua/s002012</v>
      </c>
    </row>
    <row r="57" spans="2:7" ht="11.25" outlineLevel="5" x14ac:dyDescent="0.2">
      <c r="B57" s="14" t="s">
        <v>96</v>
      </c>
      <c r="C57" s="14" t="s">
        <v>97</v>
      </c>
      <c r="D57" s="14">
        <v>12</v>
      </c>
      <c r="E57" s="15">
        <v>54.33</v>
      </c>
      <c r="F57" s="16" t="s">
        <v>8</v>
      </c>
      <c r="G57" s="38" t="str">
        <f>HYPERLINK("http://enext.ua/s002013")</f>
        <v>http://enext.ua/s002013</v>
      </c>
    </row>
    <row r="58" spans="2:7" ht="11.25" outlineLevel="5" x14ac:dyDescent="0.2">
      <c r="B58" s="14" t="s">
        <v>98</v>
      </c>
      <c r="C58" s="14" t="s">
        <v>99</v>
      </c>
      <c r="D58" s="14">
        <v>12</v>
      </c>
      <c r="E58" s="15">
        <v>54.33</v>
      </c>
      <c r="F58" s="16" t="s">
        <v>8</v>
      </c>
      <c r="G58" s="38" t="str">
        <f>HYPERLINK("http://enext.ua/s002014")</f>
        <v>http://enext.ua/s002014</v>
      </c>
    </row>
    <row r="59" spans="2:7" ht="11.25" outlineLevel="5" x14ac:dyDescent="0.2">
      <c r="B59" s="14" t="s">
        <v>100</v>
      </c>
      <c r="C59" s="14" t="s">
        <v>101</v>
      </c>
      <c r="D59" s="14">
        <v>6</v>
      </c>
      <c r="E59" s="15">
        <v>106.72</v>
      </c>
      <c r="F59" s="16" t="s">
        <v>8</v>
      </c>
      <c r="G59" s="38" t="str">
        <f>HYPERLINK("http://enext.ua/s002054")</f>
        <v>http://enext.ua/s002054</v>
      </c>
    </row>
    <row r="60" spans="2:7" ht="11.25" outlineLevel="5" x14ac:dyDescent="0.2">
      <c r="B60" s="14" t="s">
        <v>102</v>
      </c>
      <c r="C60" s="14" t="s">
        <v>103</v>
      </c>
      <c r="D60" s="14">
        <v>6</v>
      </c>
      <c r="E60" s="15">
        <v>106.72</v>
      </c>
      <c r="F60" s="16" t="s">
        <v>8</v>
      </c>
      <c r="G60" s="38" t="str">
        <f>HYPERLINK("http://enext.ua/s002041")</f>
        <v>http://enext.ua/s002041</v>
      </c>
    </row>
    <row r="61" spans="2:7" ht="11.25" outlineLevel="5" x14ac:dyDescent="0.2">
      <c r="B61" s="14" t="s">
        <v>104</v>
      </c>
      <c r="C61" s="14" t="s">
        <v>105</v>
      </c>
      <c r="D61" s="14">
        <v>6</v>
      </c>
      <c r="E61" s="15">
        <v>106.72</v>
      </c>
      <c r="F61" s="16" t="s">
        <v>8</v>
      </c>
      <c r="G61" s="38" t="str">
        <f>HYPERLINK("http://enext.ua/s002042")</f>
        <v>http://enext.ua/s002042</v>
      </c>
    </row>
    <row r="62" spans="2:7" ht="11.25" outlineLevel="5" x14ac:dyDescent="0.2">
      <c r="B62" s="14" t="s">
        <v>106</v>
      </c>
      <c r="C62" s="14" t="s">
        <v>107</v>
      </c>
      <c r="D62" s="14">
        <v>6</v>
      </c>
      <c r="E62" s="15">
        <v>106.72</v>
      </c>
      <c r="F62" s="16" t="s">
        <v>8</v>
      </c>
      <c r="G62" s="38" t="str">
        <f>HYPERLINK("http://enext.ua/s002043")</f>
        <v>http://enext.ua/s002043</v>
      </c>
    </row>
    <row r="63" spans="2:7" ht="11.25" outlineLevel="5" x14ac:dyDescent="0.2">
      <c r="B63" s="14" t="s">
        <v>108</v>
      </c>
      <c r="C63" s="14" t="s">
        <v>109</v>
      </c>
      <c r="D63" s="14">
        <v>6</v>
      </c>
      <c r="E63" s="15">
        <v>106.72</v>
      </c>
      <c r="F63" s="16" t="s">
        <v>8</v>
      </c>
      <c r="G63" s="38" t="str">
        <f>HYPERLINK("http://enext.ua/s002055")</f>
        <v>http://enext.ua/s002055</v>
      </c>
    </row>
    <row r="64" spans="2:7" ht="11.25" outlineLevel="5" x14ac:dyDescent="0.2">
      <c r="B64" s="14" t="s">
        <v>110</v>
      </c>
      <c r="C64" s="14" t="s">
        <v>111</v>
      </c>
      <c r="D64" s="14">
        <v>6</v>
      </c>
      <c r="E64" s="15">
        <v>95.04</v>
      </c>
      <c r="F64" s="16" t="s">
        <v>8</v>
      </c>
      <c r="G64" s="38" t="str">
        <f>HYPERLINK("http://enext.ua/s002015")</f>
        <v>http://enext.ua/s002015</v>
      </c>
    </row>
    <row r="65" spans="2:7" ht="11.25" outlineLevel="5" x14ac:dyDescent="0.2">
      <c r="B65" s="14" t="s">
        <v>112</v>
      </c>
      <c r="C65" s="14" t="s">
        <v>113</v>
      </c>
      <c r="D65" s="14">
        <v>6</v>
      </c>
      <c r="E65" s="15">
        <v>95.04</v>
      </c>
      <c r="F65" s="16" t="s">
        <v>8</v>
      </c>
      <c r="G65" s="38" t="str">
        <f>HYPERLINK("http://enext.ua/s002016")</f>
        <v>http://enext.ua/s002016</v>
      </c>
    </row>
    <row r="66" spans="2:7" ht="11.25" outlineLevel="5" x14ac:dyDescent="0.2">
      <c r="B66" s="14" t="s">
        <v>114</v>
      </c>
      <c r="C66" s="14" t="s">
        <v>115</v>
      </c>
      <c r="D66" s="14">
        <v>6</v>
      </c>
      <c r="E66" s="15">
        <v>95.04</v>
      </c>
      <c r="F66" s="16" t="s">
        <v>8</v>
      </c>
      <c r="G66" s="38" t="str">
        <f>HYPERLINK("http://enext.ua/s002017")</f>
        <v>http://enext.ua/s002017</v>
      </c>
    </row>
    <row r="67" spans="2:7" ht="11.25" outlineLevel="5" x14ac:dyDescent="0.2">
      <c r="B67" s="14" t="s">
        <v>116</v>
      </c>
      <c r="C67" s="14" t="s">
        <v>117</v>
      </c>
      <c r="D67" s="14">
        <v>6</v>
      </c>
      <c r="E67" s="15">
        <v>95.04</v>
      </c>
      <c r="F67" s="16" t="s">
        <v>8</v>
      </c>
      <c r="G67" s="38" t="str">
        <f>HYPERLINK("http://enext.ua/s002018")</f>
        <v>http://enext.ua/s002018</v>
      </c>
    </row>
    <row r="68" spans="2:7" ht="11.25" outlineLevel="5" x14ac:dyDescent="0.2">
      <c r="B68" s="14" t="s">
        <v>118</v>
      </c>
      <c r="C68" s="14" t="s">
        <v>119</v>
      </c>
      <c r="D68" s="14">
        <v>6</v>
      </c>
      <c r="E68" s="15">
        <v>95.04</v>
      </c>
      <c r="F68" s="16" t="s">
        <v>8</v>
      </c>
      <c r="G68" s="38" t="str">
        <f>HYPERLINK("http://enext.ua/s002019")</f>
        <v>http://enext.ua/s002019</v>
      </c>
    </row>
    <row r="69" spans="2:7" ht="11.25" outlineLevel="5" x14ac:dyDescent="0.2">
      <c r="B69" s="14" t="s">
        <v>120</v>
      </c>
      <c r="C69" s="14" t="s">
        <v>121</v>
      </c>
      <c r="D69" s="14">
        <v>6</v>
      </c>
      <c r="E69" s="15">
        <v>99.79</v>
      </c>
      <c r="F69" s="16" t="s">
        <v>8</v>
      </c>
      <c r="G69" s="38" t="str">
        <f>HYPERLINK("http://enext.ua/s002020")</f>
        <v>http://enext.ua/s002020</v>
      </c>
    </row>
    <row r="70" spans="2:7" ht="11.25" outlineLevel="5" x14ac:dyDescent="0.2">
      <c r="B70" s="14" t="s">
        <v>122</v>
      </c>
      <c r="C70" s="14" t="s">
        <v>123</v>
      </c>
      <c r="D70" s="14">
        <v>6</v>
      </c>
      <c r="E70" s="15">
        <v>106.72</v>
      </c>
      <c r="F70" s="16" t="s">
        <v>8</v>
      </c>
      <c r="G70" s="38" t="str">
        <f>HYPERLINK("http://enext.ua/s002021")</f>
        <v>http://enext.ua/s002021</v>
      </c>
    </row>
    <row r="71" spans="2:7" ht="11.25" outlineLevel="5" x14ac:dyDescent="0.2">
      <c r="B71" s="14" t="s">
        <v>124</v>
      </c>
      <c r="C71" s="14" t="s">
        <v>125</v>
      </c>
      <c r="D71" s="14">
        <v>6</v>
      </c>
      <c r="E71" s="15">
        <v>106.72</v>
      </c>
      <c r="F71" s="16" t="s">
        <v>8</v>
      </c>
      <c r="G71" s="38" t="str">
        <f>HYPERLINK("http://enext.ua/s002022")</f>
        <v>http://enext.ua/s002022</v>
      </c>
    </row>
    <row r="72" spans="2:7" ht="11.25" outlineLevel="5" x14ac:dyDescent="0.2">
      <c r="B72" s="14" t="s">
        <v>126</v>
      </c>
      <c r="C72" s="14" t="s">
        <v>127</v>
      </c>
      <c r="D72" s="14">
        <v>6</v>
      </c>
      <c r="E72" s="15">
        <v>106.72</v>
      </c>
      <c r="F72" s="16" t="s">
        <v>8</v>
      </c>
      <c r="G72" s="38" t="str">
        <f>HYPERLINK("http://enext.ua/s002023")</f>
        <v>http://enext.ua/s002023</v>
      </c>
    </row>
    <row r="73" spans="2:7" ht="11.25" outlineLevel="5" x14ac:dyDescent="0.2">
      <c r="B73" s="14" t="s">
        <v>128</v>
      </c>
      <c r="C73" s="14" t="s">
        <v>129</v>
      </c>
      <c r="D73" s="14">
        <v>4</v>
      </c>
      <c r="E73" s="15">
        <v>160.22</v>
      </c>
      <c r="F73" s="16" t="s">
        <v>8</v>
      </c>
      <c r="G73" s="38" t="str">
        <f>HYPERLINK("http://enext.ua/s002024")</f>
        <v>http://enext.ua/s002024</v>
      </c>
    </row>
    <row r="74" spans="2:7" ht="11.25" outlineLevel="5" x14ac:dyDescent="0.2">
      <c r="B74" s="14" t="s">
        <v>130</v>
      </c>
      <c r="C74" s="14" t="s">
        <v>131</v>
      </c>
      <c r="D74" s="14">
        <v>4</v>
      </c>
      <c r="E74" s="15">
        <v>160.22</v>
      </c>
      <c r="F74" s="16" t="s">
        <v>8</v>
      </c>
      <c r="G74" s="38" t="str">
        <f>HYPERLINK("http://enext.ua/s002025")</f>
        <v>http://enext.ua/s002025</v>
      </c>
    </row>
    <row r="75" spans="2:7" ht="11.25" outlineLevel="5" x14ac:dyDescent="0.2">
      <c r="B75" s="14" t="s">
        <v>132</v>
      </c>
      <c r="C75" s="14" t="s">
        <v>133</v>
      </c>
      <c r="D75" s="14">
        <v>4</v>
      </c>
      <c r="E75" s="15">
        <v>160.22</v>
      </c>
      <c r="F75" s="16" t="s">
        <v>8</v>
      </c>
      <c r="G75" s="38" t="str">
        <f>HYPERLINK("http://enext.ua/s002026")</f>
        <v>http://enext.ua/s002026</v>
      </c>
    </row>
    <row r="76" spans="2:7" ht="11.25" outlineLevel="5" x14ac:dyDescent="0.2">
      <c r="B76" s="14" t="s">
        <v>134</v>
      </c>
      <c r="C76" s="14" t="s">
        <v>135</v>
      </c>
      <c r="D76" s="14">
        <v>4</v>
      </c>
      <c r="E76" s="15">
        <v>160.22</v>
      </c>
      <c r="F76" s="16" t="s">
        <v>8</v>
      </c>
      <c r="G76" s="38" t="str">
        <f>HYPERLINK("http://enext.ua/s002027")</f>
        <v>http://enext.ua/s002027</v>
      </c>
    </row>
    <row r="77" spans="2:7" ht="11.25" outlineLevel="5" x14ac:dyDescent="0.2">
      <c r="B77" s="14" t="s">
        <v>136</v>
      </c>
      <c r="C77" s="14" t="s">
        <v>137</v>
      </c>
      <c r="D77" s="14">
        <v>4</v>
      </c>
      <c r="E77" s="15">
        <v>160.22</v>
      </c>
      <c r="F77" s="16" t="s">
        <v>8</v>
      </c>
      <c r="G77" s="38" t="str">
        <f>HYPERLINK("http://enext.ua/s002028")</f>
        <v>http://enext.ua/s002028</v>
      </c>
    </row>
    <row r="78" spans="2:7" ht="11.25" outlineLevel="5" x14ac:dyDescent="0.2">
      <c r="B78" s="14" t="s">
        <v>138</v>
      </c>
      <c r="C78" s="14" t="s">
        <v>139</v>
      </c>
      <c r="D78" s="14">
        <v>4</v>
      </c>
      <c r="E78" s="15">
        <v>141.5</v>
      </c>
      <c r="F78" s="16" t="s">
        <v>8</v>
      </c>
      <c r="G78" s="38" t="str">
        <f>HYPERLINK("http://enext.ua/s002029")</f>
        <v>http://enext.ua/s002029</v>
      </c>
    </row>
    <row r="79" spans="2:7" ht="11.25" outlineLevel="5" x14ac:dyDescent="0.2">
      <c r="B79" s="14" t="s">
        <v>140</v>
      </c>
      <c r="C79" s="14" t="s">
        <v>141</v>
      </c>
      <c r="D79" s="14">
        <v>4</v>
      </c>
      <c r="E79" s="15">
        <v>141.5</v>
      </c>
      <c r="F79" s="16" t="s">
        <v>8</v>
      </c>
      <c r="G79" s="38" t="str">
        <f>HYPERLINK("http://enext.ua/s002030")</f>
        <v>http://enext.ua/s002030</v>
      </c>
    </row>
    <row r="80" spans="2:7" ht="11.25" outlineLevel="5" x14ac:dyDescent="0.2">
      <c r="B80" s="14" t="s">
        <v>142</v>
      </c>
      <c r="C80" s="14" t="s">
        <v>143</v>
      </c>
      <c r="D80" s="14">
        <v>4</v>
      </c>
      <c r="E80" s="15">
        <v>141.5</v>
      </c>
      <c r="F80" s="16" t="s">
        <v>8</v>
      </c>
      <c r="G80" s="38" t="str">
        <f>HYPERLINK("http://enext.ua/s002031")</f>
        <v>http://enext.ua/s002031</v>
      </c>
    </row>
    <row r="81" spans="2:7" ht="11.25" outlineLevel="5" x14ac:dyDescent="0.2">
      <c r="B81" s="14" t="s">
        <v>144</v>
      </c>
      <c r="C81" s="14" t="s">
        <v>145</v>
      </c>
      <c r="D81" s="14">
        <v>4</v>
      </c>
      <c r="E81" s="15">
        <v>141.5</v>
      </c>
      <c r="F81" s="16" t="s">
        <v>8</v>
      </c>
      <c r="G81" s="38" t="str">
        <f>HYPERLINK("http://enext.ua/s002032")</f>
        <v>http://enext.ua/s002032</v>
      </c>
    </row>
    <row r="82" spans="2:7" ht="11.25" outlineLevel="5" x14ac:dyDescent="0.2">
      <c r="B82" s="14" t="s">
        <v>146</v>
      </c>
      <c r="C82" s="14" t="s">
        <v>147</v>
      </c>
      <c r="D82" s="14">
        <v>4</v>
      </c>
      <c r="E82" s="15">
        <v>141.5</v>
      </c>
      <c r="F82" s="16" t="s">
        <v>8</v>
      </c>
      <c r="G82" s="38" t="str">
        <f>HYPERLINK("http://enext.ua/s002033")</f>
        <v>http://enext.ua/s002033</v>
      </c>
    </row>
    <row r="83" spans="2:7" ht="11.25" outlineLevel="5" x14ac:dyDescent="0.2">
      <c r="B83" s="14" t="s">
        <v>148</v>
      </c>
      <c r="C83" s="14" t="s">
        <v>149</v>
      </c>
      <c r="D83" s="14">
        <v>4</v>
      </c>
      <c r="E83" s="15">
        <v>148.58000000000001</v>
      </c>
      <c r="F83" s="16" t="s">
        <v>8</v>
      </c>
      <c r="G83" s="38" t="str">
        <f>HYPERLINK("http://enext.ua/s002034")</f>
        <v>http://enext.ua/s002034</v>
      </c>
    </row>
    <row r="84" spans="2:7" ht="11.25" outlineLevel="5" x14ac:dyDescent="0.2">
      <c r="B84" s="14" t="s">
        <v>150</v>
      </c>
      <c r="C84" s="14" t="s">
        <v>151</v>
      </c>
      <c r="D84" s="14">
        <v>4</v>
      </c>
      <c r="E84" s="15">
        <v>160.22</v>
      </c>
      <c r="F84" s="16" t="s">
        <v>8</v>
      </c>
      <c r="G84" s="38" t="str">
        <f>HYPERLINK("http://enext.ua/s002035")</f>
        <v>http://enext.ua/s002035</v>
      </c>
    </row>
    <row r="85" spans="2:7" ht="11.25" outlineLevel="5" x14ac:dyDescent="0.2">
      <c r="B85" s="14" t="s">
        <v>152</v>
      </c>
      <c r="C85" s="14" t="s">
        <v>153</v>
      </c>
      <c r="D85" s="14">
        <v>4</v>
      </c>
      <c r="E85" s="15">
        <v>160.22</v>
      </c>
      <c r="F85" s="16" t="s">
        <v>8</v>
      </c>
      <c r="G85" s="38" t="str">
        <f>HYPERLINK("http://enext.ua/s002036")</f>
        <v>http://enext.ua/s002036</v>
      </c>
    </row>
    <row r="86" spans="2:7" ht="11.25" outlineLevel="5" x14ac:dyDescent="0.2">
      <c r="B86" s="14" t="s">
        <v>154</v>
      </c>
      <c r="C86" s="14" t="s">
        <v>155</v>
      </c>
      <c r="D86" s="14">
        <v>4</v>
      </c>
      <c r="E86" s="15">
        <v>160.22</v>
      </c>
      <c r="F86" s="16" t="s">
        <v>8</v>
      </c>
      <c r="G86" s="38" t="str">
        <f>HYPERLINK("http://enext.ua/s002037")</f>
        <v>http://enext.ua/s002037</v>
      </c>
    </row>
    <row r="87" spans="2:7" ht="11.25" outlineLevel="5" x14ac:dyDescent="0.2">
      <c r="B87" s="14" t="s">
        <v>156</v>
      </c>
      <c r="C87" s="14" t="s">
        <v>157</v>
      </c>
      <c r="D87" s="14">
        <v>3</v>
      </c>
      <c r="E87" s="15">
        <v>145.94</v>
      </c>
      <c r="F87" s="16" t="s">
        <v>8</v>
      </c>
      <c r="G87" s="38" t="str">
        <f>HYPERLINK("http://enext.ua/s002046")</f>
        <v>http://enext.ua/s002046</v>
      </c>
    </row>
    <row r="88" spans="2:7" ht="11.25" outlineLevel="5" x14ac:dyDescent="0.2">
      <c r="B88" s="14" t="s">
        <v>158</v>
      </c>
      <c r="C88" s="14" t="s">
        <v>159</v>
      </c>
      <c r="D88" s="14">
        <v>3</v>
      </c>
      <c r="E88" s="15">
        <v>145.94</v>
      </c>
      <c r="F88" s="16" t="s">
        <v>8</v>
      </c>
      <c r="G88" s="38" t="str">
        <f>HYPERLINK("http://enext.ua/s002047")</f>
        <v>http://enext.ua/s002047</v>
      </c>
    </row>
    <row r="89" spans="2:7" ht="11.25" outlineLevel="5" x14ac:dyDescent="0.2">
      <c r="B89" s="14" t="s">
        <v>160</v>
      </c>
      <c r="C89" s="14" t="s">
        <v>161</v>
      </c>
      <c r="D89" s="14">
        <v>3</v>
      </c>
      <c r="E89" s="15">
        <v>145.94</v>
      </c>
      <c r="F89" s="16" t="s">
        <v>8</v>
      </c>
      <c r="G89" s="38" t="str">
        <f>HYPERLINK("http://enext.ua/s002048")</f>
        <v>http://enext.ua/s002048</v>
      </c>
    </row>
    <row r="90" spans="2:7" ht="11.25" outlineLevel="5" x14ac:dyDescent="0.2">
      <c r="B90" s="14" t="s">
        <v>162</v>
      </c>
      <c r="C90" s="14" t="s">
        <v>163</v>
      </c>
      <c r="D90" s="14">
        <v>3</v>
      </c>
      <c r="E90" s="15">
        <v>145.94</v>
      </c>
      <c r="F90" s="16" t="s">
        <v>8</v>
      </c>
      <c r="G90" s="38" t="str">
        <f>HYPERLINK("http://enext.ua/s002049")</f>
        <v>http://enext.ua/s002049</v>
      </c>
    </row>
    <row r="91" spans="2:7" ht="11.25" outlineLevel="5" x14ac:dyDescent="0.2">
      <c r="B91" s="14" t="s">
        <v>164</v>
      </c>
      <c r="C91" s="14" t="s">
        <v>165</v>
      </c>
      <c r="D91" s="14">
        <v>3</v>
      </c>
      <c r="E91" s="15">
        <v>153.24</v>
      </c>
      <c r="F91" s="16" t="s">
        <v>8</v>
      </c>
      <c r="G91" s="38" t="str">
        <f>HYPERLINK("http://enext.ua/s002050")</f>
        <v>http://enext.ua/s002050</v>
      </c>
    </row>
    <row r="92" spans="2:7" ht="11.25" outlineLevel="5" x14ac:dyDescent="0.2">
      <c r="B92" s="14" t="s">
        <v>166</v>
      </c>
      <c r="C92" s="14" t="s">
        <v>167</v>
      </c>
      <c r="D92" s="14">
        <v>3</v>
      </c>
      <c r="E92" s="15">
        <v>170.54</v>
      </c>
      <c r="F92" s="16" t="s">
        <v>8</v>
      </c>
      <c r="G92" s="38" t="str">
        <f>HYPERLINK("http://enext.ua/s002051")</f>
        <v>http://enext.ua/s002051</v>
      </c>
    </row>
    <row r="93" spans="2:7" ht="11.25" outlineLevel="5" x14ac:dyDescent="0.2">
      <c r="B93" s="14" t="s">
        <v>168</v>
      </c>
      <c r="C93" s="14" t="s">
        <v>169</v>
      </c>
      <c r="D93" s="14">
        <v>3</v>
      </c>
      <c r="E93" s="15">
        <v>170.54</v>
      </c>
      <c r="F93" s="16" t="s">
        <v>8</v>
      </c>
      <c r="G93" s="38" t="str">
        <f>HYPERLINK("http://enext.ua/s002052")</f>
        <v>http://enext.ua/s002052</v>
      </c>
    </row>
    <row r="94" spans="2:7" ht="11.25" outlineLevel="5" x14ac:dyDescent="0.2">
      <c r="B94" s="14" t="s">
        <v>170</v>
      </c>
      <c r="C94" s="14" t="s">
        <v>171</v>
      </c>
      <c r="D94" s="14">
        <v>3</v>
      </c>
      <c r="E94" s="15">
        <v>170.54</v>
      </c>
      <c r="F94" s="16" t="s">
        <v>8</v>
      </c>
      <c r="G94" s="38" t="str">
        <f>HYPERLINK("http://enext.ua/s002053")</f>
        <v>http://enext.ua/s002053</v>
      </c>
    </row>
    <row r="95" spans="2:7" ht="22.5" outlineLevel="5" x14ac:dyDescent="0.2">
      <c r="B95" s="14" t="s">
        <v>172</v>
      </c>
      <c r="C95" s="14" t="s">
        <v>173</v>
      </c>
      <c r="D95" s="14">
        <v>12</v>
      </c>
      <c r="E95" s="15">
        <v>50.16</v>
      </c>
      <c r="F95" s="16" t="s">
        <v>8</v>
      </c>
      <c r="G95" s="38" t="str">
        <f>HYPERLINK("http://enext.ua/p055003")</f>
        <v>http://enext.ua/p055003</v>
      </c>
    </row>
    <row r="96" spans="2:7" ht="22.5" outlineLevel="5" x14ac:dyDescent="0.2">
      <c r="B96" s="14" t="s">
        <v>174</v>
      </c>
      <c r="C96" s="14" t="s">
        <v>175</v>
      </c>
      <c r="D96" s="14">
        <v>12</v>
      </c>
      <c r="E96" s="15">
        <v>50.16</v>
      </c>
      <c r="F96" s="16" t="s">
        <v>8</v>
      </c>
      <c r="G96" s="38" t="str">
        <f>HYPERLINK("http://enext.ua/p055002")</f>
        <v>http://enext.ua/p055002</v>
      </c>
    </row>
    <row r="97" spans="2:7" ht="22.5" outlineLevel="5" x14ac:dyDescent="0.2">
      <c r="B97" s="14" t="s">
        <v>176</v>
      </c>
      <c r="C97" s="14" t="s">
        <v>177</v>
      </c>
      <c r="D97" s="14">
        <v>12</v>
      </c>
      <c r="E97" s="15">
        <v>62.7</v>
      </c>
      <c r="F97" s="16" t="s">
        <v>8</v>
      </c>
      <c r="G97" s="38" t="str">
        <f>HYPERLINK("http://enext.ua/p055001")</f>
        <v>http://enext.ua/p055001</v>
      </c>
    </row>
    <row r="98" spans="2:7" ht="12" outlineLevel="4" x14ac:dyDescent="0.2">
      <c r="B98" s="12"/>
      <c r="C98" s="37" t="s">
        <v>178</v>
      </c>
      <c r="D98" s="12"/>
      <c r="E98" s="13"/>
      <c r="F98" s="13"/>
      <c r="G98" s="12"/>
    </row>
    <row r="99" spans="2:7" ht="11.25" outlineLevel="5" x14ac:dyDescent="0.2">
      <c r="B99" s="14" t="s">
        <v>179</v>
      </c>
      <c r="C99" s="14" t="s">
        <v>180</v>
      </c>
      <c r="D99" s="14">
        <v>4</v>
      </c>
      <c r="E99" s="15">
        <v>398.24</v>
      </c>
      <c r="F99" s="16" t="s">
        <v>8</v>
      </c>
      <c r="G99" s="38" t="str">
        <f>HYPERLINK("http://enext.ua/s026001")</f>
        <v>http://enext.ua/s026001</v>
      </c>
    </row>
    <row r="100" spans="2:7" ht="12" outlineLevel="3" x14ac:dyDescent="0.2">
      <c r="B100" s="10"/>
      <c r="C100" s="36" t="s">
        <v>181</v>
      </c>
      <c r="D100" s="10"/>
      <c r="E100" s="11"/>
      <c r="F100" s="11"/>
      <c r="G100" s="10"/>
    </row>
    <row r="101" spans="2:7" ht="12" outlineLevel="4" x14ac:dyDescent="0.2">
      <c r="B101" s="12"/>
      <c r="C101" s="37" t="s">
        <v>182</v>
      </c>
      <c r="D101" s="12"/>
      <c r="E101" s="13"/>
      <c r="F101" s="13"/>
      <c r="G101" s="12"/>
    </row>
    <row r="102" spans="2:7" ht="11.25" outlineLevel="5" x14ac:dyDescent="0.2">
      <c r="B102" s="14" t="s">
        <v>183</v>
      </c>
      <c r="C102" s="14" t="s">
        <v>184</v>
      </c>
      <c r="D102" s="14">
        <v>12</v>
      </c>
      <c r="E102" s="15">
        <v>59</v>
      </c>
      <c r="F102" s="16" t="s">
        <v>8</v>
      </c>
      <c r="G102" s="38" t="str">
        <f>HYPERLINK("http://enext.ua/p041001")</f>
        <v>http://enext.ua/p041001</v>
      </c>
    </row>
    <row r="103" spans="2:7" ht="11.25" outlineLevel="5" x14ac:dyDescent="0.2">
      <c r="B103" s="14" t="s">
        <v>185</v>
      </c>
      <c r="C103" s="14" t="s">
        <v>186</v>
      </c>
      <c r="D103" s="14">
        <v>12</v>
      </c>
      <c r="E103" s="15">
        <v>59</v>
      </c>
      <c r="F103" s="16" t="s">
        <v>8</v>
      </c>
      <c r="G103" s="38" t="str">
        <f>HYPERLINK("http://enext.ua/p041002")</f>
        <v>http://enext.ua/p041002</v>
      </c>
    </row>
    <row r="104" spans="2:7" ht="11.25" outlineLevel="5" x14ac:dyDescent="0.2">
      <c r="B104" s="14" t="s">
        <v>187</v>
      </c>
      <c r="C104" s="14" t="s">
        <v>188</v>
      </c>
      <c r="D104" s="14">
        <v>12</v>
      </c>
      <c r="E104" s="15">
        <v>59</v>
      </c>
      <c r="F104" s="16" t="s">
        <v>8</v>
      </c>
      <c r="G104" s="38" t="str">
        <f>HYPERLINK("http://enext.ua/p041003")</f>
        <v>http://enext.ua/p041003</v>
      </c>
    </row>
    <row r="105" spans="2:7" ht="11.25" outlineLevel="5" x14ac:dyDescent="0.2">
      <c r="B105" s="14" t="s">
        <v>189</v>
      </c>
      <c r="C105" s="14" t="s">
        <v>190</v>
      </c>
      <c r="D105" s="14">
        <v>12</v>
      </c>
      <c r="E105" s="15">
        <v>59</v>
      </c>
      <c r="F105" s="16" t="s">
        <v>8</v>
      </c>
      <c r="G105" s="38" t="str">
        <f>HYPERLINK("http://enext.ua/p041004")</f>
        <v>http://enext.ua/p041004</v>
      </c>
    </row>
    <row r="106" spans="2:7" ht="11.25" outlineLevel="5" x14ac:dyDescent="0.2">
      <c r="B106" s="14" t="s">
        <v>191</v>
      </c>
      <c r="C106" s="14" t="s">
        <v>192</v>
      </c>
      <c r="D106" s="14">
        <v>12</v>
      </c>
      <c r="E106" s="15">
        <v>59</v>
      </c>
      <c r="F106" s="16" t="s">
        <v>8</v>
      </c>
      <c r="G106" s="38" t="str">
        <f>HYPERLINK("http://enext.ua/p041005")</f>
        <v>http://enext.ua/p041005</v>
      </c>
    </row>
    <row r="107" spans="2:7" ht="11.25" outlineLevel="5" x14ac:dyDescent="0.2">
      <c r="B107" s="14" t="s">
        <v>193</v>
      </c>
      <c r="C107" s="14" t="s">
        <v>194</v>
      </c>
      <c r="D107" s="14">
        <v>12</v>
      </c>
      <c r="E107" s="15">
        <v>51.24</v>
      </c>
      <c r="F107" s="16" t="s">
        <v>8</v>
      </c>
      <c r="G107" s="38" t="str">
        <f>HYPERLINK("http://enext.ua/p041006")</f>
        <v>http://enext.ua/p041006</v>
      </c>
    </row>
    <row r="108" spans="2:7" ht="11.25" outlineLevel="5" x14ac:dyDescent="0.2">
      <c r="B108" s="14" t="s">
        <v>195</v>
      </c>
      <c r="C108" s="14" t="s">
        <v>196</v>
      </c>
      <c r="D108" s="14">
        <v>12</v>
      </c>
      <c r="E108" s="15">
        <v>51.24</v>
      </c>
      <c r="F108" s="16" t="s">
        <v>8</v>
      </c>
      <c r="G108" s="38" t="str">
        <f>HYPERLINK("http://enext.ua/p041007")</f>
        <v>http://enext.ua/p041007</v>
      </c>
    </row>
    <row r="109" spans="2:7" ht="11.25" outlineLevel="5" x14ac:dyDescent="0.2">
      <c r="B109" s="14" t="s">
        <v>197</v>
      </c>
      <c r="C109" s="14" t="s">
        <v>198</v>
      </c>
      <c r="D109" s="14">
        <v>12</v>
      </c>
      <c r="E109" s="15">
        <v>51.24</v>
      </c>
      <c r="F109" s="16" t="s">
        <v>8</v>
      </c>
      <c r="G109" s="38" t="str">
        <f>HYPERLINK("http://enext.ua/p041008")</f>
        <v>http://enext.ua/p041008</v>
      </c>
    </row>
    <row r="110" spans="2:7" ht="11.25" outlineLevel="5" x14ac:dyDescent="0.2">
      <c r="B110" s="14" t="s">
        <v>199</v>
      </c>
      <c r="C110" s="14" t="s">
        <v>200</v>
      </c>
      <c r="D110" s="14">
        <v>12</v>
      </c>
      <c r="E110" s="15">
        <v>51.24</v>
      </c>
      <c r="F110" s="16" t="s">
        <v>8</v>
      </c>
      <c r="G110" s="38" t="str">
        <f>HYPERLINK("http://enext.ua/p041009")</f>
        <v>http://enext.ua/p041009</v>
      </c>
    </row>
    <row r="111" spans="2:7" ht="11.25" outlineLevel="5" x14ac:dyDescent="0.2">
      <c r="B111" s="14" t="s">
        <v>201</v>
      </c>
      <c r="C111" s="14" t="s">
        <v>202</v>
      </c>
      <c r="D111" s="14">
        <v>12</v>
      </c>
      <c r="E111" s="15">
        <v>51.24</v>
      </c>
      <c r="F111" s="16" t="s">
        <v>8</v>
      </c>
      <c r="G111" s="38" t="str">
        <f>HYPERLINK("http://enext.ua/p041010")</f>
        <v>http://enext.ua/p041010</v>
      </c>
    </row>
    <row r="112" spans="2:7" ht="11.25" outlineLevel="5" x14ac:dyDescent="0.2">
      <c r="B112" s="14" t="s">
        <v>203</v>
      </c>
      <c r="C112" s="14" t="s">
        <v>204</v>
      </c>
      <c r="D112" s="14">
        <v>12</v>
      </c>
      <c r="E112" s="15">
        <v>53.8</v>
      </c>
      <c r="F112" s="16" t="s">
        <v>8</v>
      </c>
      <c r="G112" s="38" t="str">
        <f>HYPERLINK("http://enext.ua/p041011")</f>
        <v>http://enext.ua/p041011</v>
      </c>
    </row>
    <row r="113" spans="2:7" ht="11.25" outlineLevel="5" x14ac:dyDescent="0.2">
      <c r="B113" s="14" t="s">
        <v>205</v>
      </c>
      <c r="C113" s="14" t="s">
        <v>206</v>
      </c>
      <c r="D113" s="14">
        <v>12</v>
      </c>
      <c r="E113" s="15">
        <v>59</v>
      </c>
      <c r="F113" s="16" t="s">
        <v>8</v>
      </c>
      <c r="G113" s="38" t="str">
        <f>HYPERLINK("http://enext.ua/p041012")</f>
        <v>http://enext.ua/p041012</v>
      </c>
    </row>
    <row r="114" spans="2:7" ht="11.25" outlineLevel="5" x14ac:dyDescent="0.2">
      <c r="B114" s="14" t="s">
        <v>207</v>
      </c>
      <c r="C114" s="14" t="s">
        <v>208</v>
      </c>
      <c r="D114" s="14">
        <v>12</v>
      </c>
      <c r="E114" s="15">
        <v>59</v>
      </c>
      <c r="F114" s="16" t="s">
        <v>8</v>
      </c>
      <c r="G114" s="38" t="str">
        <f>HYPERLINK("http://enext.ua/p041013")</f>
        <v>http://enext.ua/p041013</v>
      </c>
    </row>
    <row r="115" spans="2:7" ht="11.25" outlineLevel="5" x14ac:dyDescent="0.2">
      <c r="B115" s="14" t="s">
        <v>209</v>
      </c>
      <c r="C115" s="14" t="s">
        <v>210</v>
      </c>
      <c r="D115" s="14">
        <v>12</v>
      </c>
      <c r="E115" s="15">
        <v>59</v>
      </c>
      <c r="F115" s="16" t="s">
        <v>8</v>
      </c>
      <c r="G115" s="38" t="str">
        <f>HYPERLINK("http://enext.ua/p041014")</f>
        <v>http://enext.ua/p041014</v>
      </c>
    </row>
    <row r="116" spans="2:7" ht="11.25" outlineLevel="5" x14ac:dyDescent="0.2">
      <c r="B116" s="14" t="s">
        <v>211</v>
      </c>
      <c r="C116" s="14" t="s">
        <v>212</v>
      </c>
      <c r="D116" s="14">
        <v>6</v>
      </c>
      <c r="E116" s="15">
        <v>103.46</v>
      </c>
      <c r="F116" s="16" t="s">
        <v>8</v>
      </c>
      <c r="G116" s="38" t="str">
        <f>HYPERLINK("http://enext.ua/p041015")</f>
        <v>http://enext.ua/p041015</v>
      </c>
    </row>
    <row r="117" spans="2:7" ht="11.25" outlineLevel="5" x14ac:dyDescent="0.2">
      <c r="B117" s="14" t="s">
        <v>213</v>
      </c>
      <c r="C117" s="14" t="s">
        <v>214</v>
      </c>
      <c r="D117" s="14">
        <v>6</v>
      </c>
      <c r="E117" s="15">
        <v>103.46</v>
      </c>
      <c r="F117" s="16" t="s">
        <v>8</v>
      </c>
      <c r="G117" s="38" t="str">
        <f>HYPERLINK("http://enext.ua/p041016")</f>
        <v>http://enext.ua/p041016</v>
      </c>
    </row>
    <row r="118" spans="2:7" ht="11.25" outlineLevel="5" x14ac:dyDescent="0.2">
      <c r="B118" s="14" t="s">
        <v>215</v>
      </c>
      <c r="C118" s="14" t="s">
        <v>216</v>
      </c>
      <c r="D118" s="14">
        <v>6</v>
      </c>
      <c r="E118" s="15">
        <v>103.46</v>
      </c>
      <c r="F118" s="16" t="s">
        <v>8</v>
      </c>
      <c r="G118" s="38" t="str">
        <f>HYPERLINK("http://enext.ua/p041017")</f>
        <v>http://enext.ua/p041017</v>
      </c>
    </row>
    <row r="119" spans="2:7" ht="11.25" outlineLevel="5" x14ac:dyDescent="0.2">
      <c r="B119" s="14" t="s">
        <v>217</v>
      </c>
      <c r="C119" s="14" t="s">
        <v>218</v>
      </c>
      <c r="D119" s="14">
        <v>6</v>
      </c>
      <c r="E119" s="15">
        <v>103.46</v>
      </c>
      <c r="F119" s="16" t="s">
        <v>8</v>
      </c>
      <c r="G119" s="38" t="str">
        <f>HYPERLINK("http://enext.ua/p041018")</f>
        <v>http://enext.ua/p041018</v>
      </c>
    </row>
    <row r="120" spans="2:7" ht="11.25" outlineLevel="5" x14ac:dyDescent="0.2">
      <c r="B120" s="14" t="s">
        <v>219</v>
      </c>
      <c r="C120" s="14" t="s">
        <v>220</v>
      </c>
      <c r="D120" s="14">
        <v>6</v>
      </c>
      <c r="E120" s="15">
        <v>103.46</v>
      </c>
      <c r="F120" s="16" t="s">
        <v>8</v>
      </c>
      <c r="G120" s="38" t="str">
        <f>HYPERLINK("http://enext.ua/p041019")</f>
        <v>http://enext.ua/p041019</v>
      </c>
    </row>
    <row r="121" spans="2:7" ht="11.25" outlineLevel="5" x14ac:dyDescent="0.2">
      <c r="B121" s="14" t="s">
        <v>221</v>
      </c>
      <c r="C121" s="14" t="s">
        <v>222</v>
      </c>
      <c r="D121" s="14">
        <v>6</v>
      </c>
      <c r="E121" s="15">
        <v>108.63</v>
      </c>
      <c r="F121" s="16" t="s">
        <v>8</v>
      </c>
      <c r="G121" s="38" t="str">
        <f>HYPERLINK("http://enext.ua/p041020")</f>
        <v>http://enext.ua/p041020</v>
      </c>
    </row>
    <row r="122" spans="2:7" ht="11.25" outlineLevel="5" x14ac:dyDescent="0.2">
      <c r="B122" s="14" t="s">
        <v>223</v>
      </c>
      <c r="C122" s="14" t="s">
        <v>224</v>
      </c>
      <c r="D122" s="14">
        <v>6</v>
      </c>
      <c r="E122" s="15">
        <v>117.73</v>
      </c>
      <c r="F122" s="16" t="s">
        <v>8</v>
      </c>
      <c r="G122" s="38" t="str">
        <f>HYPERLINK("http://enext.ua/p041021")</f>
        <v>http://enext.ua/p041021</v>
      </c>
    </row>
    <row r="123" spans="2:7" ht="11.25" outlineLevel="5" x14ac:dyDescent="0.2">
      <c r="B123" s="14" t="s">
        <v>225</v>
      </c>
      <c r="C123" s="14" t="s">
        <v>226</v>
      </c>
      <c r="D123" s="14">
        <v>6</v>
      </c>
      <c r="E123" s="15">
        <v>117.73</v>
      </c>
      <c r="F123" s="16" t="s">
        <v>8</v>
      </c>
      <c r="G123" s="38" t="str">
        <f>HYPERLINK("http://enext.ua/p041022")</f>
        <v>http://enext.ua/p041022</v>
      </c>
    </row>
    <row r="124" spans="2:7" ht="11.25" outlineLevel="5" x14ac:dyDescent="0.2">
      <c r="B124" s="14" t="s">
        <v>227</v>
      </c>
      <c r="C124" s="14" t="s">
        <v>228</v>
      </c>
      <c r="D124" s="14">
        <v>6</v>
      </c>
      <c r="E124" s="15">
        <v>117.73</v>
      </c>
      <c r="F124" s="16" t="s">
        <v>8</v>
      </c>
      <c r="G124" s="38" t="str">
        <f>HYPERLINK("http://enext.ua/p041023")</f>
        <v>http://enext.ua/p041023</v>
      </c>
    </row>
    <row r="125" spans="2:7" ht="11.25" outlineLevel="5" x14ac:dyDescent="0.2">
      <c r="B125" s="14" t="s">
        <v>229</v>
      </c>
      <c r="C125" s="14" t="s">
        <v>230</v>
      </c>
      <c r="D125" s="14">
        <v>4</v>
      </c>
      <c r="E125" s="15">
        <v>154.69</v>
      </c>
      <c r="F125" s="16" t="s">
        <v>8</v>
      </c>
      <c r="G125" s="38" t="str">
        <f>HYPERLINK("http://enext.ua/p041024")</f>
        <v>http://enext.ua/p041024</v>
      </c>
    </row>
    <row r="126" spans="2:7" ht="11.25" outlineLevel="5" x14ac:dyDescent="0.2">
      <c r="B126" s="14" t="s">
        <v>231</v>
      </c>
      <c r="C126" s="14" t="s">
        <v>232</v>
      </c>
      <c r="D126" s="14">
        <v>4</v>
      </c>
      <c r="E126" s="15">
        <v>154.69</v>
      </c>
      <c r="F126" s="16" t="s">
        <v>8</v>
      </c>
      <c r="G126" s="38" t="str">
        <f>HYPERLINK("http://enext.ua/p041025")</f>
        <v>http://enext.ua/p041025</v>
      </c>
    </row>
    <row r="127" spans="2:7" ht="11.25" outlineLevel="5" x14ac:dyDescent="0.2">
      <c r="B127" s="14" t="s">
        <v>233</v>
      </c>
      <c r="C127" s="14" t="s">
        <v>234</v>
      </c>
      <c r="D127" s="14">
        <v>4</v>
      </c>
      <c r="E127" s="15">
        <v>154.69</v>
      </c>
      <c r="F127" s="16" t="s">
        <v>8</v>
      </c>
      <c r="G127" s="38" t="str">
        <f>HYPERLINK("http://enext.ua/p041026")</f>
        <v>http://enext.ua/p041026</v>
      </c>
    </row>
    <row r="128" spans="2:7" ht="11.25" outlineLevel="5" x14ac:dyDescent="0.2">
      <c r="B128" s="14" t="s">
        <v>235</v>
      </c>
      <c r="C128" s="14" t="s">
        <v>236</v>
      </c>
      <c r="D128" s="14">
        <v>4</v>
      </c>
      <c r="E128" s="15">
        <v>154.69</v>
      </c>
      <c r="F128" s="16" t="s">
        <v>8</v>
      </c>
      <c r="G128" s="38" t="str">
        <f>HYPERLINK("http://enext.ua/p041027")</f>
        <v>http://enext.ua/p041027</v>
      </c>
    </row>
    <row r="129" spans="2:7" ht="11.25" outlineLevel="5" x14ac:dyDescent="0.2">
      <c r="B129" s="14" t="s">
        <v>237</v>
      </c>
      <c r="C129" s="14" t="s">
        <v>238</v>
      </c>
      <c r="D129" s="14">
        <v>4</v>
      </c>
      <c r="E129" s="15">
        <v>154.69</v>
      </c>
      <c r="F129" s="16" t="s">
        <v>8</v>
      </c>
      <c r="G129" s="38" t="str">
        <f>HYPERLINK("http://enext.ua/p041028")</f>
        <v>http://enext.ua/p041028</v>
      </c>
    </row>
    <row r="130" spans="2:7" ht="11.25" outlineLevel="5" x14ac:dyDescent="0.2">
      <c r="B130" s="14" t="s">
        <v>239</v>
      </c>
      <c r="C130" s="14" t="s">
        <v>240</v>
      </c>
      <c r="D130" s="14">
        <v>4</v>
      </c>
      <c r="E130" s="15">
        <v>162.43</v>
      </c>
      <c r="F130" s="16" t="s">
        <v>8</v>
      </c>
      <c r="G130" s="38" t="str">
        <f>HYPERLINK("http://enext.ua/p041029")</f>
        <v>http://enext.ua/p041029</v>
      </c>
    </row>
    <row r="131" spans="2:7" ht="11.25" outlineLevel="5" x14ac:dyDescent="0.2">
      <c r="B131" s="14" t="s">
        <v>241</v>
      </c>
      <c r="C131" s="14" t="s">
        <v>242</v>
      </c>
      <c r="D131" s="14">
        <v>4</v>
      </c>
      <c r="E131" s="15">
        <v>176.72</v>
      </c>
      <c r="F131" s="16" t="s">
        <v>8</v>
      </c>
      <c r="G131" s="38" t="str">
        <f>HYPERLINK("http://enext.ua/p041030")</f>
        <v>http://enext.ua/p041030</v>
      </c>
    </row>
    <row r="132" spans="2:7" ht="11.25" outlineLevel="5" x14ac:dyDescent="0.2">
      <c r="B132" s="14" t="s">
        <v>243</v>
      </c>
      <c r="C132" s="14" t="s">
        <v>244</v>
      </c>
      <c r="D132" s="14">
        <v>4</v>
      </c>
      <c r="E132" s="15">
        <v>176.72</v>
      </c>
      <c r="F132" s="16" t="s">
        <v>8</v>
      </c>
      <c r="G132" s="38" t="str">
        <f>HYPERLINK("http://enext.ua/p041031")</f>
        <v>http://enext.ua/p041031</v>
      </c>
    </row>
    <row r="133" spans="2:7" ht="11.25" outlineLevel="5" x14ac:dyDescent="0.2">
      <c r="B133" s="14" t="s">
        <v>245</v>
      </c>
      <c r="C133" s="14" t="s">
        <v>246</v>
      </c>
      <c r="D133" s="14">
        <v>4</v>
      </c>
      <c r="E133" s="15">
        <v>176.72</v>
      </c>
      <c r="F133" s="16" t="s">
        <v>8</v>
      </c>
      <c r="G133" s="38" t="str">
        <f>HYPERLINK("http://enext.ua/p041032")</f>
        <v>http://enext.ua/p041032</v>
      </c>
    </row>
    <row r="134" spans="2:7" ht="12" outlineLevel="4" x14ac:dyDescent="0.2">
      <c r="B134" s="12"/>
      <c r="C134" s="37" t="s">
        <v>247</v>
      </c>
      <c r="D134" s="12"/>
      <c r="E134" s="13"/>
      <c r="F134" s="13"/>
      <c r="G134" s="12"/>
    </row>
    <row r="135" spans="2:7" ht="11.25" outlineLevel="5" x14ac:dyDescent="0.2">
      <c r="B135" s="14" t="s">
        <v>248</v>
      </c>
      <c r="C135" s="14" t="s">
        <v>249</v>
      </c>
      <c r="D135" s="14">
        <v>12</v>
      </c>
      <c r="E135" s="15">
        <v>82.88</v>
      </c>
      <c r="F135" s="16" t="s">
        <v>8</v>
      </c>
      <c r="G135" s="38" t="str">
        <f>HYPERLINK("http://enext.ua/p042001")</f>
        <v>http://enext.ua/p042001</v>
      </c>
    </row>
    <row r="136" spans="2:7" ht="11.25" outlineLevel="5" x14ac:dyDescent="0.2">
      <c r="B136" s="14" t="s">
        <v>250</v>
      </c>
      <c r="C136" s="14" t="s">
        <v>251</v>
      </c>
      <c r="D136" s="14">
        <v>12</v>
      </c>
      <c r="E136" s="15">
        <v>82.88</v>
      </c>
      <c r="F136" s="16" t="s">
        <v>8</v>
      </c>
      <c r="G136" s="38" t="str">
        <f>HYPERLINK("http://enext.ua/p042002")</f>
        <v>http://enext.ua/p042002</v>
      </c>
    </row>
    <row r="137" spans="2:7" ht="11.25" outlineLevel="5" x14ac:dyDescent="0.2">
      <c r="B137" s="14" t="s">
        <v>252</v>
      </c>
      <c r="C137" s="14" t="s">
        <v>253</v>
      </c>
      <c r="D137" s="14">
        <v>12</v>
      </c>
      <c r="E137" s="15">
        <v>82.88</v>
      </c>
      <c r="F137" s="16" t="s">
        <v>8</v>
      </c>
      <c r="G137" s="38" t="str">
        <f>HYPERLINK("http://enext.ua/p042003")</f>
        <v>http://enext.ua/p042003</v>
      </c>
    </row>
    <row r="138" spans="2:7" ht="11.25" outlineLevel="5" x14ac:dyDescent="0.2">
      <c r="B138" s="14" t="s">
        <v>254</v>
      </c>
      <c r="C138" s="14" t="s">
        <v>255</v>
      </c>
      <c r="D138" s="14">
        <v>12</v>
      </c>
      <c r="E138" s="15">
        <v>82.88</v>
      </c>
      <c r="F138" s="16" t="s">
        <v>8</v>
      </c>
      <c r="G138" s="38" t="str">
        <f>HYPERLINK("http://enext.ua/p042004")</f>
        <v>http://enext.ua/p042004</v>
      </c>
    </row>
    <row r="139" spans="2:7" ht="11.25" outlineLevel="5" x14ac:dyDescent="0.2">
      <c r="B139" s="14" t="s">
        <v>256</v>
      </c>
      <c r="C139" s="14" t="s">
        <v>257</v>
      </c>
      <c r="D139" s="14">
        <v>12</v>
      </c>
      <c r="E139" s="15">
        <v>75.650000000000006</v>
      </c>
      <c r="F139" s="16" t="s">
        <v>8</v>
      </c>
      <c r="G139" s="38" t="str">
        <f>HYPERLINK("http://enext.ua/p042005")</f>
        <v>http://enext.ua/p042005</v>
      </c>
    </row>
    <row r="140" spans="2:7" ht="11.25" outlineLevel="5" x14ac:dyDescent="0.2">
      <c r="B140" s="14" t="s">
        <v>258</v>
      </c>
      <c r="C140" s="14" t="s">
        <v>259</v>
      </c>
      <c r="D140" s="14">
        <v>12</v>
      </c>
      <c r="E140" s="15">
        <v>66</v>
      </c>
      <c r="F140" s="16" t="s">
        <v>8</v>
      </c>
      <c r="G140" s="38" t="str">
        <f>HYPERLINK("http://enext.ua/p042006")</f>
        <v>http://enext.ua/p042006</v>
      </c>
    </row>
    <row r="141" spans="2:7" ht="11.25" outlineLevel="5" x14ac:dyDescent="0.2">
      <c r="B141" s="14" t="s">
        <v>260</v>
      </c>
      <c r="C141" s="14" t="s">
        <v>261</v>
      </c>
      <c r="D141" s="14">
        <v>12</v>
      </c>
      <c r="E141" s="15">
        <v>66</v>
      </c>
      <c r="F141" s="16" t="s">
        <v>8</v>
      </c>
      <c r="G141" s="38" t="str">
        <f>HYPERLINK("http://enext.ua/p042007")</f>
        <v>http://enext.ua/p042007</v>
      </c>
    </row>
    <row r="142" spans="2:7" ht="11.25" outlineLevel="5" x14ac:dyDescent="0.2">
      <c r="B142" s="14" t="s">
        <v>262</v>
      </c>
      <c r="C142" s="14" t="s">
        <v>263</v>
      </c>
      <c r="D142" s="14">
        <v>12</v>
      </c>
      <c r="E142" s="15">
        <v>66</v>
      </c>
      <c r="F142" s="16" t="s">
        <v>8</v>
      </c>
      <c r="G142" s="38" t="str">
        <f>HYPERLINK("http://enext.ua/p042008")</f>
        <v>http://enext.ua/p042008</v>
      </c>
    </row>
    <row r="143" spans="2:7" ht="11.25" outlineLevel="5" x14ac:dyDescent="0.2">
      <c r="B143" s="14" t="s">
        <v>264</v>
      </c>
      <c r="C143" s="14" t="s">
        <v>265</v>
      </c>
      <c r="D143" s="14">
        <v>12</v>
      </c>
      <c r="E143" s="15">
        <v>66</v>
      </c>
      <c r="F143" s="16" t="s">
        <v>8</v>
      </c>
      <c r="G143" s="38" t="str">
        <f>HYPERLINK("http://enext.ua/p042009")</f>
        <v>http://enext.ua/p042009</v>
      </c>
    </row>
    <row r="144" spans="2:7" ht="11.25" outlineLevel="5" x14ac:dyDescent="0.2">
      <c r="B144" s="14" t="s">
        <v>266</v>
      </c>
      <c r="C144" s="14" t="s">
        <v>267</v>
      </c>
      <c r="D144" s="14">
        <v>12</v>
      </c>
      <c r="E144" s="15">
        <v>66</v>
      </c>
      <c r="F144" s="16" t="s">
        <v>8</v>
      </c>
      <c r="G144" s="38" t="str">
        <f>HYPERLINK("http://enext.ua/p042010")</f>
        <v>http://enext.ua/p042010</v>
      </c>
    </row>
    <row r="145" spans="2:7" ht="11.25" outlineLevel="5" x14ac:dyDescent="0.2">
      <c r="B145" s="14" t="s">
        <v>268</v>
      </c>
      <c r="C145" s="14" t="s">
        <v>269</v>
      </c>
      <c r="D145" s="14">
        <v>12</v>
      </c>
      <c r="E145" s="15">
        <v>69.3</v>
      </c>
      <c r="F145" s="16" t="s">
        <v>8</v>
      </c>
      <c r="G145" s="38" t="str">
        <f>HYPERLINK("http://enext.ua/p042011")</f>
        <v>http://enext.ua/p042011</v>
      </c>
    </row>
    <row r="146" spans="2:7" ht="11.25" outlineLevel="5" x14ac:dyDescent="0.2">
      <c r="B146" s="14" t="s">
        <v>270</v>
      </c>
      <c r="C146" s="14" t="s">
        <v>271</v>
      </c>
      <c r="D146" s="14">
        <v>12</v>
      </c>
      <c r="E146" s="15">
        <v>82.88</v>
      </c>
      <c r="F146" s="16" t="s">
        <v>8</v>
      </c>
      <c r="G146" s="38" t="str">
        <f>HYPERLINK("http://enext.ua/p042012")</f>
        <v>http://enext.ua/p042012</v>
      </c>
    </row>
    <row r="147" spans="2:7" ht="11.25" outlineLevel="5" x14ac:dyDescent="0.2">
      <c r="B147" s="14" t="s">
        <v>272</v>
      </c>
      <c r="C147" s="14" t="s">
        <v>273</v>
      </c>
      <c r="D147" s="14">
        <v>12</v>
      </c>
      <c r="E147" s="15">
        <v>82.88</v>
      </c>
      <c r="F147" s="16" t="s">
        <v>8</v>
      </c>
      <c r="G147" s="38" t="str">
        <f>HYPERLINK("http://enext.ua/p042013")</f>
        <v>http://enext.ua/p042013</v>
      </c>
    </row>
    <row r="148" spans="2:7" ht="11.25" outlineLevel="5" x14ac:dyDescent="0.2">
      <c r="B148" s="14" t="s">
        <v>274</v>
      </c>
      <c r="C148" s="14" t="s">
        <v>275</v>
      </c>
      <c r="D148" s="14">
        <v>12</v>
      </c>
      <c r="E148" s="15">
        <v>82.88</v>
      </c>
      <c r="F148" s="16" t="s">
        <v>8</v>
      </c>
      <c r="G148" s="38" t="str">
        <f>HYPERLINK("http://enext.ua/p042014")</f>
        <v>http://enext.ua/p042014</v>
      </c>
    </row>
    <row r="149" spans="2:7" ht="11.25" outlineLevel="5" x14ac:dyDescent="0.2">
      <c r="B149" s="14" t="s">
        <v>276</v>
      </c>
      <c r="C149" s="14" t="s">
        <v>277</v>
      </c>
      <c r="D149" s="14">
        <v>6</v>
      </c>
      <c r="E149" s="15">
        <v>133.1</v>
      </c>
      <c r="F149" s="16" t="s">
        <v>8</v>
      </c>
      <c r="G149" s="38" t="str">
        <f>HYPERLINK("http://enext.ua/p042015")</f>
        <v>http://enext.ua/p042015</v>
      </c>
    </row>
    <row r="150" spans="2:7" ht="11.25" outlineLevel="5" x14ac:dyDescent="0.2">
      <c r="B150" s="14" t="s">
        <v>278</v>
      </c>
      <c r="C150" s="14" t="s">
        <v>279</v>
      </c>
      <c r="D150" s="14">
        <v>6</v>
      </c>
      <c r="E150" s="15">
        <v>133.1</v>
      </c>
      <c r="F150" s="16" t="s">
        <v>8</v>
      </c>
      <c r="G150" s="38" t="str">
        <f>HYPERLINK("http://enext.ua/p042016")</f>
        <v>http://enext.ua/p042016</v>
      </c>
    </row>
    <row r="151" spans="2:7" ht="11.25" outlineLevel="5" x14ac:dyDescent="0.2">
      <c r="B151" s="14" t="s">
        <v>280</v>
      </c>
      <c r="C151" s="14" t="s">
        <v>281</v>
      </c>
      <c r="D151" s="14">
        <v>6</v>
      </c>
      <c r="E151" s="15">
        <v>133.1</v>
      </c>
      <c r="F151" s="16" t="s">
        <v>8</v>
      </c>
      <c r="G151" s="38" t="str">
        <f>HYPERLINK("http://enext.ua/p042017")</f>
        <v>http://enext.ua/p042017</v>
      </c>
    </row>
    <row r="152" spans="2:7" ht="11.25" outlineLevel="5" x14ac:dyDescent="0.2">
      <c r="B152" s="14" t="s">
        <v>282</v>
      </c>
      <c r="C152" s="14" t="s">
        <v>283</v>
      </c>
      <c r="D152" s="14">
        <v>6</v>
      </c>
      <c r="E152" s="15">
        <v>133.1</v>
      </c>
      <c r="F152" s="16" t="s">
        <v>8</v>
      </c>
      <c r="G152" s="38" t="str">
        <f>HYPERLINK("http://enext.ua/p042018")</f>
        <v>http://enext.ua/p042018</v>
      </c>
    </row>
    <row r="153" spans="2:7" ht="11.25" outlineLevel="5" x14ac:dyDescent="0.2">
      <c r="B153" s="14" t="s">
        <v>284</v>
      </c>
      <c r="C153" s="14" t="s">
        <v>285</v>
      </c>
      <c r="D153" s="14">
        <v>6</v>
      </c>
      <c r="E153" s="15">
        <v>133.1</v>
      </c>
      <c r="F153" s="16" t="s">
        <v>8</v>
      </c>
      <c r="G153" s="38" t="str">
        <f>HYPERLINK("http://enext.ua/p042019")</f>
        <v>http://enext.ua/p042019</v>
      </c>
    </row>
    <row r="154" spans="2:7" ht="11.25" outlineLevel="5" x14ac:dyDescent="0.2">
      <c r="B154" s="14" t="s">
        <v>286</v>
      </c>
      <c r="C154" s="14" t="s">
        <v>287</v>
      </c>
      <c r="D154" s="14">
        <v>6</v>
      </c>
      <c r="E154" s="15">
        <v>139.76</v>
      </c>
      <c r="F154" s="16" t="s">
        <v>8</v>
      </c>
      <c r="G154" s="38" t="str">
        <f>HYPERLINK("http://enext.ua/p042020")</f>
        <v>http://enext.ua/p042020</v>
      </c>
    </row>
    <row r="155" spans="2:7" ht="11.25" outlineLevel="5" x14ac:dyDescent="0.2">
      <c r="B155" s="14" t="s">
        <v>288</v>
      </c>
      <c r="C155" s="14" t="s">
        <v>289</v>
      </c>
      <c r="D155" s="14">
        <v>6</v>
      </c>
      <c r="E155" s="15">
        <v>166.32</v>
      </c>
      <c r="F155" s="16" t="s">
        <v>8</v>
      </c>
      <c r="G155" s="38" t="str">
        <f>HYPERLINK("http://enext.ua/p042021")</f>
        <v>http://enext.ua/p042021</v>
      </c>
    </row>
    <row r="156" spans="2:7" ht="11.25" outlineLevel="5" x14ac:dyDescent="0.2">
      <c r="B156" s="14" t="s">
        <v>290</v>
      </c>
      <c r="C156" s="14" t="s">
        <v>291</v>
      </c>
      <c r="D156" s="14">
        <v>6</v>
      </c>
      <c r="E156" s="15">
        <v>166.32</v>
      </c>
      <c r="F156" s="16" t="s">
        <v>8</v>
      </c>
      <c r="G156" s="38" t="str">
        <f>HYPERLINK("http://enext.ua/p042022")</f>
        <v>http://enext.ua/p042022</v>
      </c>
    </row>
    <row r="157" spans="2:7" ht="11.25" outlineLevel="5" x14ac:dyDescent="0.2">
      <c r="B157" s="14" t="s">
        <v>292</v>
      </c>
      <c r="C157" s="14" t="s">
        <v>293</v>
      </c>
      <c r="D157" s="14">
        <v>6</v>
      </c>
      <c r="E157" s="15">
        <v>166.32</v>
      </c>
      <c r="F157" s="16" t="s">
        <v>8</v>
      </c>
      <c r="G157" s="38" t="str">
        <f>HYPERLINK("http://enext.ua/p042023")</f>
        <v>http://enext.ua/p042023</v>
      </c>
    </row>
    <row r="158" spans="2:7" ht="11.25" outlineLevel="5" x14ac:dyDescent="0.2">
      <c r="B158" s="14" t="s">
        <v>294</v>
      </c>
      <c r="C158" s="14" t="s">
        <v>295</v>
      </c>
      <c r="D158" s="14">
        <v>4</v>
      </c>
      <c r="E158" s="15">
        <v>226.68</v>
      </c>
      <c r="F158" s="16" t="s">
        <v>8</v>
      </c>
      <c r="G158" s="38" t="str">
        <f>HYPERLINK("http://enext.ua/p042024")</f>
        <v>http://enext.ua/p042024</v>
      </c>
    </row>
    <row r="159" spans="2:7" ht="11.25" outlineLevel="5" x14ac:dyDescent="0.2">
      <c r="B159" s="14" t="s">
        <v>296</v>
      </c>
      <c r="C159" s="14" t="s">
        <v>297</v>
      </c>
      <c r="D159" s="14">
        <v>4</v>
      </c>
      <c r="E159" s="15">
        <v>226.68</v>
      </c>
      <c r="F159" s="16" t="s">
        <v>8</v>
      </c>
      <c r="G159" s="38" t="str">
        <f>HYPERLINK("http://enext.ua/p042025")</f>
        <v>http://enext.ua/p042025</v>
      </c>
    </row>
    <row r="160" spans="2:7" ht="11.25" outlineLevel="5" x14ac:dyDescent="0.2">
      <c r="B160" s="14" t="s">
        <v>298</v>
      </c>
      <c r="C160" s="14" t="s">
        <v>299</v>
      </c>
      <c r="D160" s="14">
        <v>4</v>
      </c>
      <c r="E160" s="15">
        <v>226.68</v>
      </c>
      <c r="F160" s="16" t="s">
        <v>8</v>
      </c>
      <c r="G160" s="38" t="str">
        <f>HYPERLINK("http://enext.ua/p042026")</f>
        <v>http://enext.ua/p042026</v>
      </c>
    </row>
    <row r="161" spans="2:7" ht="11.25" outlineLevel="5" x14ac:dyDescent="0.2">
      <c r="B161" s="14" t="s">
        <v>300</v>
      </c>
      <c r="C161" s="14" t="s">
        <v>301</v>
      </c>
      <c r="D161" s="14">
        <v>4</v>
      </c>
      <c r="E161" s="15">
        <v>226.68</v>
      </c>
      <c r="F161" s="16" t="s">
        <v>8</v>
      </c>
      <c r="G161" s="38" t="str">
        <f>HYPERLINK("http://enext.ua/p042027")</f>
        <v>http://enext.ua/p042027</v>
      </c>
    </row>
    <row r="162" spans="2:7" ht="11.25" outlineLevel="5" x14ac:dyDescent="0.2">
      <c r="B162" s="14" t="s">
        <v>302</v>
      </c>
      <c r="C162" s="14" t="s">
        <v>303</v>
      </c>
      <c r="D162" s="14">
        <v>4</v>
      </c>
      <c r="E162" s="15">
        <v>226.68</v>
      </c>
      <c r="F162" s="16" t="s">
        <v>8</v>
      </c>
      <c r="G162" s="38" t="str">
        <f>HYPERLINK("http://enext.ua/p042028")</f>
        <v>http://enext.ua/p042028</v>
      </c>
    </row>
    <row r="163" spans="2:7" ht="11.25" outlineLevel="5" x14ac:dyDescent="0.2">
      <c r="B163" s="14" t="s">
        <v>304</v>
      </c>
      <c r="C163" s="14" t="s">
        <v>305</v>
      </c>
      <c r="D163" s="14">
        <v>4</v>
      </c>
      <c r="E163" s="15">
        <v>199.1</v>
      </c>
      <c r="F163" s="16" t="s">
        <v>8</v>
      </c>
      <c r="G163" s="38" t="str">
        <f>HYPERLINK("http://enext.ua/p042029")</f>
        <v>http://enext.ua/p042029</v>
      </c>
    </row>
    <row r="164" spans="2:7" ht="11.25" outlineLevel="5" x14ac:dyDescent="0.2">
      <c r="B164" s="14" t="s">
        <v>306</v>
      </c>
      <c r="C164" s="14" t="s">
        <v>307</v>
      </c>
      <c r="D164" s="14">
        <v>4</v>
      </c>
      <c r="E164" s="15">
        <v>199.1</v>
      </c>
      <c r="F164" s="16" t="s">
        <v>8</v>
      </c>
      <c r="G164" s="38" t="str">
        <f>HYPERLINK("http://enext.ua/p042030")</f>
        <v>http://enext.ua/p042030</v>
      </c>
    </row>
    <row r="165" spans="2:7" ht="11.25" outlineLevel="5" x14ac:dyDescent="0.2">
      <c r="B165" s="14" t="s">
        <v>308</v>
      </c>
      <c r="C165" s="14" t="s">
        <v>309</v>
      </c>
      <c r="D165" s="14">
        <v>4</v>
      </c>
      <c r="E165" s="15">
        <v>199.1</v>
      </c>
      <c r="F165" s="16" t="s">
        <v>8</v>
      </c>
      <c r="G165" s="38" t="str">
        <f>HYPERLINK("http://enext.ua/p042031")</f>
        <v>http://enext.ua/p042031</v>
      </c>
    </row>
    <row r="166" spans="2:7" ht="11.25" outlineLevel="5" x14ac:dyDescent="0.2">
      <c r="B166" s="14" t="s">
        <v>310</v>
      </c>
      <c r="C166" s="14" t="s">
        <v>311</v>
      </c>
      <c r="D166" s="14">
        <v>4</v>
      </c>
      <c r="E166" s="15">
        <v>199.1</v>
      </c>
      <c r="F166" s="16" t="s">
        <v>8</v>
      </c>
      <c r="G166" s="38" t="str">
        <f>HYPERLINK("http://enext.ua/p042032")</f>
        <v>http://enext.ua/p042032</v>
      </c>
    </row>
    <row r="167" spans="2:7" ht="11.25" outlineLevel="5" x14ac:dyDescent="0.2">
      <c r="B167" s="14" t="s">
        <v>312</v>
      </c>
      <c r="C167" s="14" t="s">
        <v>313</v>
      </c>
      <c r="D167" s="14">
        <v>4</v>
      </c>
      <c r="E167" s="15">
        <v>199.1</v>
      </c>
      <c r="F167" s="16" t="s">
        <v>8</v>
      </c>
      <c r="G167" s="38" t="str">
        <f>HYPERLINK("http://enext.ua/p042033")</f>
        <v>http://enext.ua/p042033</v>
      </c>
    </row>
    <row r="168" spans="2:7" ht="11.25" outlineLevel="5" x14ac:dyDescent="0.2">
      <c r="B168" s="14" t="s">
        <v>314</v>
      </c>
      <c r="C168" s="14" t="s">
        <v>315</v>
      </c>
      <c r="D168" s="14">
        <v>4</v>
      </c>
      <c r="E168" s="15">
        <v>209.06</v>
      </c>
      <c r="F168" s="16" t="s">
        <v>8</v>
      </c>
      <c r="G168" s="38" t="str">
        <f>HYPERLINK("http://enext.ua/p042034")</f>
        <v>http://enext.ua/p042034</v>
      </c>
    </row>
    <row r="169" spans="2:7" ht="11.25" outlineLevel="5" x14ac:dyDescent="0.2">
      <c r="B169" s="14" t="s">
        <v>316</v>
      </c>
      <c r="C169" s="14" t="s">
        <v>317</v>
      </c>
      <c r="D169" s="14">
        <v>4</v>
      </c>
      <c r="E169" s="15">
        <v>249.48</v>
      </c>
      <c r="F169" s="16" t="s">
        <v>8</v>
      </c>
      <c r="G169" s="38" t="str">
        <f>HYPERLINK("http://enext.ua/p042035")</f>
        <v>http://enext.ua/p042035</v>
      </c>
    </row>
    <row r="170" spans="2:7" ht="11.25" outlineLevel="5" x14ac:dyDescent="0.2">
      <c r="B170" s="14" t="s">
        <v>318</v>
      </c>
      <c r="C170" s="14" t="s">
        <v>319</v>
      </c>
      <c r="D170" s="14">
        <v>4</v>
      </c>
      <c r="E170" s="15">
        <v>249.48</v>
      </c>
      <c r="F170" s="16" t="s">
        <v>8</v>
      </c>
      <c r="G170" s="38" t="str">
        <f>HYPERLINK("http://enext.ua/p042036")</f>
        <v>http://enext.ua/p042036</v>
      </c>
    </row>
    <row r="171" spans="2:7" ht="11.25" outlineLevel="5" x14ac:dyDescent="0.2">
      <c r="B171" s="14" t="s">
        <v>320</v>
      </c>
      <c r="C171" s="14" t="s">
        <v>321</v>
      </c>
      <c r="D171" s="14">
        <v>4</v>
      </c>
      <c r="E171" s="15">
        <v>249.48</v>
      </c>
      <c r="F171" s="16" t="s">
        <v>8</v>
      </c>
      <c r="G171" s="38" t="str">
        <f>HYPERLINK("http://enext.ua/p042037")</f>
        <v>http://enext.ua/p042037</v>
      </c>
    </row>
    <row r="172" spans="2:7" ht="12" outlineLevel="4" x14ac:dyDescent="0.2">
      <c r="B172" s="12"/>
      <c r="C172" s="37" t="s">
        <v>322</v>
      </c>
      <c r="D172" s="12"/>
      <c r="E172" s="13"/>
      <c r="F172" s="13"/>
      <c r="G172" s="12"/>
    </row>
    <row r="173" spans="2:7" ht="11.25" outlineLevel="5" x14ac:dyDescent="0.2">
      <c r="B173" s="14" t="s">
        <v>323</v>
      </c>
      <c r="C173" s="14" t="s">
        <v>324</v>
      </c>
      <c r="D173" s="14">
        <v>6</v>
      </c>
      <c r="E173" s="15">
        <v>195.2</v>
      </c>
      <c r="F173" s="16" t="s">
        <v>8</v>
      </c>
      <c r="G173" s="38" t="str">
        <f>HYPERLINK("http://enext.ua/p0430001")</f>
        <v>http://enext.ua/p0430001</v>
      </c>
    </row>
    <row r="174" spans="2:7" ht="11.25" outlineLevel="5" x14ac:dyDescent="0.2">
      <c r="B174" s="14" t="s">
        <v>325</v>
      </c>
      <c r="C174" s="14" t="s">
        <v>326</v>
      </c>
      <c r="D174" s="14">
        <v>6</v>
      </c>
      <c r="E174" s="15">
        <v>238.77</v>
      </c>
      <c r="F174" s="16" t="s">
        <v>8</v>
      </c>
      <c r="G174" s="38" t="str">
        <f>HYPERLINK("http://enext.ua/p0430002")</f>
        <v>http://enext.ua/p0430002</v>
      </c>
    </row>
    <row r="175" spans="2:7" ht="11.25" outlineLevel="5" x14ac:dyDescent="0.2">
      <c r="B175" s="14" t="s">
        <v>327</v>
      </c>
      <c r="C175" s="14" t="s">
        <v>328</v>
      </c>
      <c r="D175" s="14">
        <v>6</v>
      </c>
      <c r="E175" s="15">
        <v>307.55</v>
      </c>
      <c r="F175" s="16" t="s">
        <v>8</v>
      </c>
      <c r="G175" s="38" t="str">
        <f>HYPERLINK("http://enext.ua/p0430003")</f>
        <v>http://enext.ua/p0430003</v>
      </c>
    </row>
    <row r="176" spans="2:7" ht="11.25" outlineLevel="5" x14ac:dyDescent="0.2">
      <c r="B176" s="14" t="s">
        <v>329</v>
      </c>
      <c r="C176" s="14" t="s">
        <v>330</v>
      </c>
      <c r="D176" s="14">
        <v>6</v>
      </c>
      <c r="E176" s="15">
        <v>336.42</v>
      </c>
      <c r="F176" s="16" t="s">
        <v>8</v>
      </c>
      <c r="G176" s="38" t="str">
        <f>HYPERLINK("http://enext.ua/p0430004")</f>
        <v>http://enext.ua/p0430004</v>
      </c>
    </row>
    <row r="177" spans="2:7" ht="11.25" outlineLevel="5" x14ac:dyDescent="0.2">
      <c r="B177" s="14" t="s">
        <v>331</v>
      </c>
      <c r="C177" s="14" t="s">
        <v>332</v>
      </c>
      <c r="D177" s="14">
        <v>2</v>
      </c>
      <c r="E177" s="15">
        <v>526.69000000000005</v>
      </c>
      <c r="F177" s="16" t="s">
        <v>8</v>
      </c>
      <c r="G177" s="38" t="str">
        <f>HYPERLINK("http://enext.ua/p0430005")</f>
        <v>http://enext.ua/p0430005</v>
      </c>
    </row>
    <row r="178" spans="2:7" ht="11.25" outlineLevel="5" x14ac:dyDescent="0.2">
      <c r="B178" s="14" t="s">
        <v>333</v>
      </c>
      <c r="C178" s="14" t="s">
        <v>334</v>
      </c>
      <c r="D178" s="14">
        <v>2</v>
      </c>
      <c r="E178" s="15">
        <v>770.08</v>
      </c>
      <c r="F178" s="16" t="s">
        <v>8</v>
      </c>
      <c r="G178" s="38" t="str">
        <f>HYPERLINK("http://enext.ua/p0430006")</f>
        <v>http://enext.ua/p0430006</v>
      </c>
    </row>
    <row r="179" spans="2:7" ht="11.25" outlineLevel="5" x14ac:dyDescent="0.2">
      <c r="B179" s="14" t="s">
        <v>335</v>
      </c>
      <c r="C179" s="14" t="s">
        <v>336</v>
      </c>
      <c r="D179" s="14">
        <v>2</v>
      </c>
      <c r="E179" s="15">
        <v>795.35</v>
      </c>
      <c r="F179" s="16" t="s">
        <v>8</v>
      </c>
      <c r="G179" s="38" t="str">
        <f>HYPERLINK("http://enext.ua/p0430007")</f>
        <v>http://enext.ua/p0430007</v>
      </c>
    </row>
    <row r="180" spans="2:7" ht="11.25" outlineLevel="5" x14ac:dyDescent="0.2">
      <c r="B180" s="14" t="s">
        <v>337</v>
      </c>
      <c r="C180" s="14" t="s">
        <v>338</v>
      </c>
      <c r="D180" s="14">
        <v>2</v>
      </c>
      <c r="E180" s="15">
        <v>854.71</v>
      </c>
      <c r="F180" s="16" t="s">
        <v>8</v>
      </c>
      <c r="G180" s="38" t="str">
        <f>HYPERLINK("http://enext.ua/p0430008")</f>
        <v>http://enext.ua/p0430008</v>
      </c>
    </row>
    <row r="181" spans="2:7" ht="12" outlineLevel="4" x14ac:dyDescent="0.2">
      <c r="B181" s="12"/>
      <c r="C181" s="37" t="s">
        <v>339</v>
      </c>
      <c r="D181" s="12"/>
      <c r="E181" s="13"/>
      <c r="F181" s="13"/>
      <c r="G181" s="12"/>
    </row>
    <row r="182" spans="2:7" ht="11.25" outlineLevel="5" x14ac:dyDescent="0.2">
      <c r="B182" s="14" t="s">
        <v>340</v>
      </c>
      <c r="C182" s="14" t="s">
        <v>341</v>
      </c>
      <c r="D182" s="14">
        <v>12</v>
      </c>
      <c r="E182" s="15">
        <v>79.38</v>
      </c>
      <c r="F182" s="16" t="s">
        <v>8</v>
      </c>
      <c r="G182" s="38" t="str">
        <f>HYPERLINK("http://enext.ua/p0710001")</f>
        <v>http://enext.ua/p0710001</v>
      </c>
    </row>
    <row r="183" spans="2:7" ht="11.25" outlineLevel="5" x14ac:dyDescent="0.2">
      <c r="B183" s="14" t="s">
        <v>342</v>
      </c>
      <c r="C183" s="14" t="s">
        <v>343</v>
      </c>
      <c r="D183" s="14">
        <v>12</v>
      </c>
      <c r="E183" s="15">
        <v>79.38</v>
      </c>
      <c r="F183" s="16" t="s">
        <v>8</v>
      </c>
      <c r="G183" s="38" t="str">
        <f>HYPERLINK("http://enext.ua/p0710002")</f>
        <v>http://enext.ua/p0710002</v>
      </c>
    </row>
    <row r="184" spans="2:7" ht="11.25" outlineLevel="5" x14ac:dyDescent="0.2">
      <c r="B184" s="14" t="s">
        <v>344</v>
      </c>
      <c r="C184" s="14" t="s">
        <v>345</v>
      </c>
      <c r="D184" s="14">
        <v>12</v>
      </c>
      <c r="E184" s="15">
        <v>79.38</v>
      </c>
      <c r="F184" s="16" t="s">
        <v>8</v>
      </c>
      <c r="G184" s="38" t="str">
        <f>HYPERLINK("http://enext.ua/p0710003")</f>
        <v>http://enext.ua/p0710003</v>
      </c>
    </row>
    <row r="185" spans="2:7" ht="11.25" outlineLevel="5" x14ac:dyDescent="0.2">
      <c r="B185" s="14" t="s">
        <v>346</v>
      </c>
      <c r="C185" s="14" t="s">
        <v>347</v>
      </c>
      <c r="D185" s="14">
        <v>12</v>
      </c>
      <c r="E185" s="15">
        <v>79.38</v>
      </c>
      <c r="F185" s="16" t="s">
        <v>8</v>
      </c>
      <c r="G185" s="38" t="str">
        <f>HYPERLINK("http://enext.ua/p0710004")</f>
        <v>http://enext.ua/p0710004</v>
      </c>
    </row>
    <row r="186" spans="2:7" ht="11.25" outlineLevel="5" x14ac:dyDescent="0.2">
      <c r="B186" s="14" t="s">
        <v>348</v>
      </c>
      <c r="C186" s="14" t="s">
        <v>349</v>
      </c>
      <c r="D186" s="14">
        <v>12</v>
      </c>
      <c r="E186" s="15">
        <v>70.41</v>
      </c>
      <c r="F186" s="16" t="s">
        <v>8</v>
      </c>
      <c r="G186" s="38" t="str">
        <f>HYPERLINK("http://enext.ua/p0710005")</f>
        <v>http://enext.ua/p0710005</v>
      </c>
    </row>
    <row r="187" spans="2:7" ht="11.25" outlineLevel="5" x14ac:dyDescent="0.2">
      <c r="B187" s="14" t="s">
        <v>350</v>
      </c>
      <c r="C187" s="14" t="s">
        <v>351</v>
      </c>
      <c r="D187" s="14">
        <v>12</v>
      </c>
      <c r="E187" s="15">
        <v>67.05</v>
      </c>
      <c r="F187" s="16" t="s">
        <v>8</v>
      </c>
      <c r="G187" s="38" t="str">
        <f>HYPERLINK("http://enext.ua/p0710006")</f>
        <v>http://enext.ua/p0710006</v>
      </c>
    </row>
    <row r="188" spans="2:7" ht="11.25" outlineLevel="5" x14ac:dyDescent="0.2">
      <c r="B188" s="14" t="s">
        <v>352</v>
      </c>
      <c r="C188" s="14" t="s">
        <v>353</v>
      </c>
      <c r="D188" s="14">
        <v>12</v>
      </c>
      <c r="E188" s="15">
        <v>67.05</v>
      </c>
      <c r="F188" s="16" t="s">
        <v>8</v>
      </c>
      <c r="G188" s="38" t="str">
        <f>HYPERLINK("http://enext.ua/p0710007")</f>
        <v>http://enext.ua/p0710007</v>
      </c>
    </row>
    <row r="189" spans="2:7" ht="11.25" outlineLevel="5" x14ac:dyDescent="0.2">
      <c r="B189" s="14" t="s">
        <v>354</v>
      </c>
      <c r="C189" s="14" t="s">
        <v>355</v>
      </c>
      <c r="D189" s="14">
        <v>12</v>
      </c>
      <c r="E189" s="15">
        <v>67.05</v>
      </c>
      <c r="F189" s="16" t="s">
        <v>8</v>
      </c>
      <c r="G189" s="38" t="str">
        <f>HYPERLINK("http://enext.ua/p0710008")</f>
        <v>http://enext.ua/p0710008</v>
      </c>
    </row>
    <row r="190" spans="2:7" ht="11.25" outlineLevel="5" x14ac:dyDescent="0.2">
      <c r="B190" s="14" t="s">
        <v>356</v>
      </c>
      <c r="C190" s="14" t="s">
        <v>357</v>
      </c>
      <c r="D190" s="14">
        <v>12</v>
      </c>
      <c r="E190" s="15">
        <v>67.05</v>
      </c>
      <c r="F190" s="16" t="s">
        <v>8</v>
      </c>
      <c r="G190" s="38" t="str">
        <f>HYPERLINK("http://enext.ua/p0710009")</f>
        <v>http://enext.ua/p0710009</v>
      </c>
    </row>
    <row r="191" spans="2:7" ht="11.25" outlineLevel="5" x14ac:dyDescent="0.2">
      <c r="B191" s="14" t="s">
        <v>358</v>
      </c>
      <c r="C191" s="14" t="s">
        <v>359</v>
      </c>
      <c r="D191" s="14">
        <v>12</v>
      </c>
      <c r="E191" s="15">
        <v>70.42</v>
      </c>
      <c r="F191" s="16" t="s">
        <v>8</v>
      </c>
      <c r="G191" s="14"/>
    </row>
    <row r="192" spans="2:7" ht="11.25" outlineLevel="5" x14ac:dyDescent="0.2">
      <c r="B192" s="14" t="s">
        <v>360</v>
      </c>
      <c r="C192" s="14" t="s">
        <v>361</v>
      </c>
      <c r="D192" s="14">
        <v>12</v>
      </c>
      <c r="E192" s="15">
        <v>79.38</v>
      </c>
      <c r="F192" s="16" t="s">
        <v>8</v>
      </c>
      <c r="G192" s="14"/>
    </row>
    <row r="193" spans="2:7" ht="11.25" outlineLevel="5" x14ac:dyDescent="0.2">
      <c r="B193" s="14" t="s">
        <v>362</v>
      </c>
      <c r="C193" s="14" t="s">
        <v>363</v>
      </c>
      <c r="D193" s="14">
        <v>12</v>
      </c>
      <c r="E193" s="15">
        <v>79.38</v>
      </c>
      <c r="F193" s="16" t="s">
        <v>8</v>
      </c>
      <c r="G193" s="14"/>
    </row>
    <row r="194" spans="2:7" ht="11.25" outlineLevel="5" x14ac:dyDescent="0.2">
      <c r="B194" s="14" t="s">
        <v>364</v>
      </c>
      <c r="C194" s="14" t="s">
        <v>365</v>
      </c>
      <c r="D194" s="14">
        <v>12</v>
      </c>
      <c r="E194" s="15">
        <v>79.38</v>
      </c>
      <c r="F194" s="16" t="s">
        <v>8</v>
      </c>
      <c r="G194" s="14"/>
    </row>
    <row r="195" spans="2:7" ht="11.25" outlineLevel="5" x14ac:dyDescent="0.2">
      <c r="B195" s="14" t="s">
        <v>366</v>
      </c>
      <c r="C195" s="14" t="s">
        <v>367</v>
      </c>
      <c r="D195" s="14">
        <v>4</v>
      </c>
      <c r="E195" s="15">
        <v>238.14</v>
      </c>
      <c r="F195" s="16" t="s">
        <v>8</v>
      </c>
      <c r="G195" s="38" t="str">
        <f>HYPERLINK("http://enext.ua/p0710010")</f>
        <v>http://enext.ua/p0710010</v>
      </c>
    </row>
    <row r="196" spans="2:7" ht="11.25" outlineLevel="5" x14ac:dyDescent="0.2">
      <c r="B196" s="14" t="s">
        <v>368</v>
      </c>
      <c r="C196" s="14" t="s">
        <v>369</v>
      </c>
      <c r="D196" s="14">
        <v>4</v>
      </c>
      <c r="E196" s="15">
        <v>200.97</v>
      </c>
      <c r="F196" s="16" t="s">
        <v>8</v>
      </c>
      <c r="G196" s="38" t="str">
        <f>HYPERLINK("http://enext.ua/p0710019")</f>
        <v>http://enext.ua/p0710019</v>
      </c>
    </row>
    <row r="197" spans="2:7" ht="11.25" outlineLevel="5" x14ac:dyDescent="0.2">
      <c r="B197" s="14" t="s">
        <v>370</v>
      </c>
      <c r="C197" s="14" t="s">
        <v>371</v>
      </c>
      <c r="D197" s="14">
        <v>4</v>
      </c>
      <c r="E197" s="15">
        <v>200.97</v>
      </c>
      <c r="F197" s="16" t="s">
        <v>8</v>
      </c>
      <c r="G197" s="38" t="str">
        <f>HYPERLINK("http://enext.ua/p0710011")</f>
        <v>http://enext.ua/p0710011</v>
      </c>
    </row>
    <row r="198" spans="2:7" ht="11.25" outlineLevel="5" x14ac:dyDescent="0.2">
      <c r="B198" s="14" t="s">
        <v>372</v>
      </c>
      <c r="C198" s="14" t="s">
        <v>373</v>
      </c>
      <c r="D198" s="14">
        <v>4</v>
      </c>
      <c r="E198" s="15">
        <v>200.97</v>
      </c>
      <c r="F198" s="16" t="s">
        <v>8</v>
      </c>
      <c r="G198" s="38" t="str">
        <f>HYPERLINK("http://enext.ua/p0710012")</f>
        <v>http://enext.ua/p0710012</v>
      </c>
    </row>
    <row r="199" spans="2:7" ht="11.25" outlineLevel="5" x14ac:dyDescent="0.2">
      <c r="B199" s="14" t="s">
        <v>374</v>
      </c>
      <c r="C199" s="14" t="s">
        <v>375</v>
      </c>
      <c r="D199" s="14">
        <v>4</v>
      </c>
      <c r="E199" s="15">
        <v>200.97</v>
      </c>
      <c r="F199" s="16" t="s">
        <v>8</v>
      </c>
      <c r="G199" s="38" t="str">
        <f>HYPERLINK("http://enext.ua/p0710013")</f>
        <v>http://enext.ua/p0710013</v>
      </c>
    </row>
    <row r="200" spans="2:7" ht="11.25" outlineLevel="5" x14ac:dyDescent="0.2">
      <c r="B200" s="14" t="s">
        <v>376</v>
      </c>
      <c r="C200" s="14" t="s">
        <v>377</v>
      </c>
      <c r="D200" s="14">
        <v>4</v>
      </c>
      <c r="E200" s="15">
        <v>200.97</v>
      </c>
      <c r="F200" s="16" t="s">
        <v>8</v>
      </c>
      <c r="G200" s="38" t="str">
        <f>HYPERLINK("http://enext.ua/p0710014")</f>
        <v>http://enext.ua/p0710014</v>
      </c>
    </row>
    <row r="201" spans="2:7" ht="11.25" outlineLevel="5" x14ac:dyDescent="0.2">
      <c r="B201" s="14" t="s">
        <v>378</v>
      </c>
      <c r="C201" s="14" t="s">
        <v>379</v>
      </c>
      <c r="D201" s="14">
        <v>4</v>
      </c>
      <c r="E201" s="15">
        <v>211.02</v>
      </c>
      <c r="F201" s="16" t="s">
        <v>8</v>
      </c>
      <c r="G201" s="38" t="str">
        <f>HYPERLINK("http://enext.ua/p0710015")</f>
        <v>http://enext.ua/p0710015</v>
      </c>
    </row>
    <row r="202" spans="2:7" ht="11.25" outlineLevel="5" x14ac:dyDescent="0.2">
      <c r="B202" s="14" t="s">
        <v>380</v>
      </c>
      <c r="C202" s="14" t="s">
        <v>381</v>
      </c>
      <c r="D202" s="14">
        <v>4</v>
      </c>
      <c r="E202" s="15">
        <v>247.7</v>
      </c>
      <c r="F202" s="16" t="s">
        <v>8</v>
      </c>
      <c r="G202" s="38" t="str">
        <f>HYPERLINK("http://enext.ua/p0710016")</f>
        <v>http://enext.ua/p0710016</v>
      </c>
    </row>
    <row r="203" spans="2:7" ht="11.25" outlineLevel="5" x14ac:dyDescent="0.2">
      <c r="B203" s="14" t="s">
        <v>382</v>
      </c>
      <c r="C203" s="14" t="s">
        <v>383</v>
      </c>
      <c r="D203" s="14">
        <v>4</v>
      </c>
      <c r="E203" s="15">
        <v>273.42</v>
      </c>
      <c r="F203" s="16" t="s">
        <v>8</v>
      </c>
      <c r="G203" s="38" t="str">
        <f>HYPERLINK("http://enext.ua/p0710017")</f>
        <v>http://enext.ua/p0710017</v>
      </c>
    </row>
    <row r="204" spans="2:7" ht="11.25" outlineLevel="5" x14ac:dyDescent="0.2">
      <c r="B204" s="14" t="s">
        <v>384</v>
      </c>
      <c r="C204" s="14" t="s">
        <v>385</v>
      </c>
      <c r="D204" s="14">
        <v>4</v>
      </c>
      <c r="E204" s="15">
        <v>273.42</v>
      </c>
      <c r="F204" s="16" t="s">
        <v>8</v>
      </c>
      <c r="G204" s="38" t="str">
        <f>HYPERLINK("http://enext.ua/p0710018")</f>
        <v>http://enext.ua/p0710018</v>
      </c>
    </row>
    <row r="205" spans="2:7" ht="12" outlineLevel="3" x14ac:dyDescent="0.2">
      <c r="B205" s="10"/>
      <c r="C205" s="36" t="s">
        <v>386</v>
      </c>
      <c r="D205" s="10"/>
      <c r="E205" s="11"/>
      <c r="F205" s="11"/>
      <c r="G205" s="10"/>
    </row>
    <row r="206" spans="2:7" ht="12" outlineLevel="4" x14ac:dyDescent="0.2">
      <c r="B206" s="12"/>
      <c r="C206" s="37" t="s">
        <v>387</v>
      </c>
      <c r="D206" s="12"/>
      <c r="E206" s="13"/>
      <c r="F206" s="13"/>
      <c r="G206" s="12"/>
    </row>
    <row r="207" spans="2:7" ht="11.25" outlineLevel="5" x14ac:dyDescent="0.2">
      <c r="B207" s="14" t="s">
        <v>388</v>
      </c>
      <c r="C207" s="14" t="s">
        <v>389</v>
      </c>
      <c r="D207" s="14">
        <v>12</v>
      </c>
      <c r="E207" s="15">
        <v>104.74</v>
      </c>
      <c r="F207" s="16" t="s">
        <v>8</v>
      </c>
      <c r="G207" s="38" t="str">
        <f>HYPERLINK("http://enext.ua/i0180001")</f>
        <v>http://enext.ua/i0180001</v>
      </c>
    </row>
    <row r="208" spans="2:7" ht="11.25" outlineLevel="5" x14ac:dyDescent="0.2">
      <c r="B208" s="14" t="s">
        <v>390</v>
      </c>
      <c r="C208" s="14" t="s">
        <v>391</v>
      </c>
      <c r="D208" s="14">
        <v>12</v>
      </c>
      <c r="E208" s="15">
        <v>102.81</v>
      </c>
      <c r="F208" s="16" t="s">
        <v>8</v>
      </c>
      <c r="G208" s="38" t="str">
        <f>HYPERLINK("http://enext.ua/i0180002")</f>
        <v>http://enext.ua/i0180002</v>
      </c>
    </row>
    <row r="209" spans="2:7" ht="11.25" outlineLevel="5" x14ac:dyDescent="0.2">
      <c r="B209" s="14" t="s">
        <v>392</v>
      </c>
      <c r="C209" s="14" t="s">
        <v>393</v>
      </c>
      <c r="D209" s="14">
        <v>12</v>
      </c>
      <c r="E209" s="15">
        <v>99.93</v>
      </c>
      <c r="F209" s="16" t="s">
        <v>8</v>
      </c>
      <c r="G209" s="38" t="str">
        <f>HYPERLINK("http://enext.ua/i0180003")</f>
        <v>http://enext.ua/i0180003</v>
      </c>
    </row>
    <row r="210" spans="2:7" ht="11.25" outlineLevel="5" x14ac:dyDescent="0.2">
      <c r="B210" s="14" t="s">
        <v>394</v>
      </c>
      <c r="C210" s="14" t="s">
        <v>395</v>
      </c>
      <c r="D210" s="14">
        <v>12</v>
      </c>
      <c r="E210" s="15">
        <v>102.81</v>
      </c>
      <c r="F210" s="16" t="s">
        <v>8</v>
      </c>
      <c r="G210" s="38" t="str">
        <f>HYPERLINK("http://enext.ua/i0180004")</f>
        <v>http://enext.ua/i0180004</v>
      </c>
    </row>
    <row r="211" spans="2:7" ht="11.25" outlineLevel="5" x14ac:dyDescent="0.2">
      <c r="B211" s="14" t="s">
        <v>396</v>
      </c>
      <c r="C211" s="14" t="s">
        <v>397</v>
      </c>
      <c r="D211" s="14">
        <v>12</v>
      </c>
      <c r="E211" s="15">
        <v>99.93</v>
      </c>
      <c r="F211" s="16" t="s">
        <v>8</v>
      </c>
      <c r="G211" s="38" t="str">
        <f>HYPERLINK("http://enext.ua/i0180005")</f>
        <v>http://enext.ua/i0180005</v>
      </c>
    </row>
    <row r="212" spans="2:7" ht="11.25" outlineLevel="5" x14ac:dyDescent="0.2">
      <c r="B212" s="14" t="s">
        <v>398</v>
      </c>
      <c r="C212" s="14" t="s">
        <v>399</v>
      </c>
      <c r="D212" s="14">
        <v>12</v>
      </c>
      <c r="E212" s="15">
        <v>104.74</v>
      </c>
      <c r="F212" s="16" t="s">
        <v>8</v>
      </c>
      <c r="G212" s="38" t="str">
        <f>HYPERLINK("http://enext.ua/i0180006")</f>
        <v>http://enext.ua/i0180006</v>
      </c>
    </row>
    <row r="213" spans="2:7" ht="11.25" outlineLevel="5" x14ac:dyDescent="0.2">
      <c r="B213" s="14" t="s">
        <v>400</v>
      </c>
      <c r="C213" s="14" t="s">
        <v>401</v>
      </c>
      <c r="D213" s="14">
        <v>12</v>
      </c>
      <c r="E213" s="15">
        <v>102.09</v>
      </c>
      <c r="F213" s="16" t="s">
        <v>8</v>
      </c>
      <c r="G213" s="38" t="str">
        <f>HYPERLINK("http://enext.ua/i0180007")</f>
        <v>http://enext.ua/i0180007</v>
      </c>
    </row>
    <row r="214" spans="2:7" ht="11.25" outlineLevel="5" x14ac:dyDescent="0.2">
      <c r="B214" s="14" t="s">
        <v>402</v>
      </c>
      <c r="C214" s="14" t="s">
        <v>403</v>
      </c>
      <c r="D214" s="14">
        <v>12</v>
      </c>
      <c r="E214" s="15">
        <v>106.42</v>
      </c>
      <c r="F214" s="16" t="s">
        <v>8</v>
      </c>
      <c r="G214" s="38" t="str">
        <f>HYPERLINK("http://enext.ua/i0180008")</f>
        <v>http://enext.ua/i0180008</v>
      </c>
    </row>
    <row r="215" spans="2:7" ht="11.25" outlineLevel="5" x14ac:dyDescent="0.2">
      <c r="B215" s="14" t="s">
        <v>404</v>
      </c>
      <c r="C215" s="14" t="s">
        <v>405</v>
      </c>
      <c r="D215" s="14">
        <v>12</v>
      </c>
      <c r="E215" s="15">
        <v>109.56</v>
      </c>
      <c r="F215" s="16" t="s">
        <v>8</v>
      </c>
      <c r="G215" s="38" t="str">
        <f>HYPERLINK("http://enext.ua/i0180009")</f>
        <v>http://enext.ua/i0180009</v>
      </c>
    </row>
    <row r="216" spans="2:7" ht="11.25" outlineLevel="5" x14ac:dyDescent="0.2">
      <c r="B216" s="14" t="s">
        <v>406</v>
      </c>
      <c r="C216" s="14" t="s">
        <v>407</v>
      </c>
      <c r="D216" s="14">
        <v>6</v>
      </c>
      <c r="E216" s="15">
        <v>208.75</v>
      </c>
      <c r="F216" s="16" t="s">
        <v>8</v>
      </c>
      <c r="G216" s="38" t="str">
        <f>HYPERLINK("http://enext.ua/i0180010")</f>
        <v>http://enext.ua/i0180010</v>
      </c>
    </row>
    <row r="217" spans="2:7" ht="11.25" outlineLevel="5" x14ac:dyDescent="0.2">
      <c r="B217" s="14" t="s">
        <v>408</v>
      </c>
      <c r="C217" s="14" t="s">
        <v>409</v>
      </c>
      <c r="D217" s="14">
        <v>6</v>
      </c>
      <c r="E217" s="15">
        <v>205.38</v>
      </c>
      <c r="F217" s="16" t="s">
        <v>8</v>
      </c>
      <c r="G217" s="38" t="str">
        <f>HYPERLINK("http://enext.ua/i0180011")</f>
        <v>http://enext.ua/i0180011</v>
      </c>
    </row>
    <row r="218" spans="2:7" ht="11.25" outlineLevel="5" x14ac:dyDescent="0.2">
      <c r="B218" s="14" t="s">
        <v>410</v>
      </c>
      <c r="C218" s="14" t="s">
        <v>411</v>
      </c>
      <c r="D218" s="14">
        <v>6</v>
      </c>
      <c r="E218" s="15">
        <v>198.39</v>
      </c>
      <c r="F218" s="16" t="s">
        <v>8</v>
      </c>
      <c r="G218" s="38" t="str">
        <f>HYPERLINK("http://enext.ua/i0180012")</f>
        <v>http://enext.ua/i0180012</v>
      </c>
    </row>
    <row r="219" spans="2:7" ht="11.25" outlineLevel="5" x14ac:dyDescent="0.2">
      <c r="B219" s="14" t="s">
        <v>412</v>
      </c>
      <c r="C219" s="14" t="s">
        <v>413</v>
      </c>
      <c r="D219" s="14">
        <v>6</v>
      </c>
      <c r="E219" s="15">
        <v>205.38</v>
      </c>
      <c r="F219" s="16" t="s">
        <v>8</v>
      </c>
      <c r="G219" s="38" t="str">
        <f>HYPERLINK("http://enext.ua/i0180013")</f>
        <v>http://enext.ua/i0180013</v>
      </c>
    </row>
    <row r="220" spans="2:7" ht="11.25" outlineLevel="5" x14ac:dyDescent="0.2">
      <c r="B220" s="14" t="s">
        <v>414</v>
      </c>
      <c r="C220" s="14" t="s">
        <v>415</v>
      </c>
      <c r="D220" s="14">
        <v>6</v>
      </c>
      <c r="E220" s="15">
        <v>199.12</v>
      </c>
      <c r="F220" s="16" t="s">
        <v>8</v>
      </c>
      <c r="G220" s="38" t="str">
        <f>HYPERLINK("http://enext.ua/i0180014")</f>
        <v>http://enext.ua/i0180014</v>
      </c>
    </row>
    <row r="221" spans="2:7" ht="11.25" outlineLevel="5" x14ac:dyDescent="0.2">
      <c r="B221" s="14" t="s">
        <v>416</v>
      </c>
      <c r="C221" s="14" t="s">
        <v>417</v>
      </c>
      <c r="D221" s="14">
        <v>6</v>
      </c>
      <c r="E221" s="15">
        <v>208.75</v>
      </c>
      <c r="F221" s="16" t="s">
        <v>8</v>
      </c>
      <c r="G221" s="38" t="str">
        <f>HYPERLINK("http://enext.ua/i0180015")</f>
        <v>http://enext.ua/i0180015</v>
      </c>
    </row>
    <row r="222" spans="2:7" ht="11.25" outlineLevel="5" x14ac:dyDescent="0.2">
      <c r="B222" s="14" t="s">
        <v>418</v>
      </c>
      <c r="C222" s="14" t="s">
        <v>419</v>
      </c>
      <c r="D222" s="14">
        <v>6</v>
      </c>
      <c r="E222" s="15">
        <v>203.45</v>
      </c>
      <c r="F222" s="16" t="s">
        <v>8</v>
      </c>
      <c r="G222" s="38" t="str">
        <f>HYPERLINK("http://enext.ua/i0180016")</f>
        <v>http://enext.ua/i0180016</v>
      </c>
    </row>
    <row r="223" spans="2:7" ht="11.25" outlineLevel="5" x14ac:dyDescent="0.2">
      <c r="B223" s="14" t="s">
        <v>420</v>
      </c>
      <c r="C223" s="14" t="s">
        <v>421</v>
      </c>
      <c r="D223" s="14">
        <v>6</v>
      </c>
      <c r="E223" s="15">
        <v>211.87</v>
      </c>
      <c r="F223" s="16" t="s">
        <v>8</v>
      </c>
      <c r="G223" s="38" t="str">
        <f>HYPERLINK("http://enext.ua/i0180017")</f>
        <v>http://enext.ua/i0180017</v>
      </c>
    </row>
    <row r="224" spans="2:7" ht="11.25" outlineLevel="5" x14ac:dyDescent="0.2">
      <c r="B224" s="14" t="s">
        <v>422</v>
      </c>
      <c r="C224" s="14" t="s">
        <v>423</v>
      </c>
      <c r="D224" s="14">
        <v>6</v>
      </c>
      <c r="E224" s="15">
        <v>218.86</v>
      </c>
      <c r="F224" s="16" t="s">
        <v>8</v>
      </c>
      <c r="G224" s="38" t="str">
        <f>HYPERLINK("http://enext.ua/i0180018")</f>
        <v>http://enext.ua/i0180018</v>
      </c>
    </row>
    <row r="225" spans="2:7" ht="11.25" outlineLevel="5" x14ac:dyDescent="0.2">
      <c r="B225" s="14" t="s">
        <v>424</v>
      </c>
      <c r="C225" s="14" t="s">
        <v>425</v>
      </c>
      <c r="D225" s="14">
        <v>4</v>
      </c>
      <c r="E225" s="15">
        <v>313.48</v>
      </c>
      <c r="F225" s="16" t="s">
        <v>8</v>
      </c>
      <c r="G225" s="38" t="str">
        <f>HYPERLINK("http://enext.ua/i0180019")</f>
        <v>http://enext.ua/i0180019</v>
      </c>
    </row>
    <row r="226" spans="2:7" ht="11.25" outlineLevel="5" x14ac:dyDescent="0.2">
      <c r="B226" s="14" t="s">
        <v>426</v>
      </c>
      <c r="C226" s="14" t="s">
        <v>427</v>
      </c>
      <c r="D226" s="14">
        <v>4</v>
      </c>
      <c r="E226" s="15">
        <v>313.48</v>
      </c>
      <c r="F226" s="16" t="s">
        <v>8</v>
      </c>
      <c r="G226" s="38" t="str">
        <f>HYPERLINK("http://enext.ua/i0180020")</f>
        <v>http://enext.ua/i0180020</v>
      </c>
    </row>
    <row r="227" spans="2:7" ht="11.25" outlineLevel="5" x14ac:dyDescent="0.2">
      <c r="B227" s="14" t="s">
        <v>428</v>
      </c>
      <c r="C227" s="14" t="s">
        <v>429</v>
      </c>
      <c r="D227" s="14">
        <v>4</v>
      </c>
      <c r="E227" s="15">
        <v>307.22000000000003</v>
      </c>
      <c r="F227" s="16" t="s">
        <v>8</v>
      </c>
      <c r="G227" s="38" t="str">
        <f>HYPERLINK("http://enext.ua/i0180021")</f>
        <v>http://enext.ua/i0180021</v>
      </c>
    </row>
    <row r="228" spans="2:7" ht="11.25" outlineLevel="5" x14ac:dyDescent="0.2">
      <c r="B228" s="14" t="s">
        <v>430</v>
      </c>
      <c r="C228" s="14" t="s">
        <v>431</v>
      </c>
      <c r="D228" s="14">
        <v>4</v>
      </c>
      <c r="E228" s="15">
        <v>307.22000000000003</v>
      </c>
      <c r="F228" s="16" t="s">
        <v>8</v>
      </c>
      <c r="G228" s="38" t="str">
        <f>HYPERLINK("http://enext.ua/i0180022")</f>
        <v>http://enext.ua/i0180022</v>
      </c>
    </row>
    <row r="229" spans="2:7" ht="11.25" outlineLevel="5" x14ac:dyDescent="0.2">
      <c r="B229" s="14" t="s">
        <v>432</v>
      </c>
      <c r="C229" s="14" t="s">
        <v>433</v>
      </c>
      <c r="D229" s="14">
        <v>4</v>
      </c>
      <c r="E229" s="15">
        <v>307.22000000000003</v>
      </c>
      <c r="F229" s="16" t="s">
        <v>8</v>
      </c>
      <c r="G229" s="38" t="str">
        <f>HYPERLINK("http://enext.ua/i0180023")</f>
        <v>http://enext.ua/i0180023</v>
      </c>
    </row>
    <row r="230" spans="2:7" ht="11.25" outlineLevel="5" x14ac:dyDescent="0.2">
      <c r="B230" s="14" t="s">
        <v>434</v>
      </c>
      <c r="C230" s="14" t="s">
        <v>435</v>
      </c>
      <c r="D230" s="14">
        <v>4</v>
      </c>
      <c r="E230" s="15">
        <v>298.55</v>
      </c>
      <c r="F230" s="16" t="s">
        <v>8</v>
      </c>
      <c r="G230" s="38" t="str">
        <f>HYPERLINK("http://enext.ua/i0180024")</f>
        <v>http://enext.ua/i0180024</v>
      </c>
    </row>
    <row r="231" spans="2:7" ht="11.25" outlineLevel="5" x14ac:dyDescent="0.2">
      <c r="B231" s="14" t="s">
        <v>436</v>
      </c>
      <c r="C231" s="14" t="s">
        <v>437</v>
      </c>
      <c r="D231" s="14">
        <v>4</v>
      </c>
      <c r="E231" s="15">
        <v>315.16000000000003</v>
      </c>
      <c r="F231" s="16" t="s">
        <v>8</v>
      </c>
      <c r="G231" s="38" t="str">
        <f>HYPERLINK("http://enext.ua/i0180025")</f>
        <v>http://enext.ua/i0180025</v>
      </c>
    </row>
    <row r="232" spans="2:7" ht="11.25" outlineLevel="5" x14ac:dyDescent="0.2">
      <c r="B232" s="14" t="s">
        <v>438</v>
      </c>
      <c r="C232" s="14" t="s">
        <v>439</v>
      </c>
      <c r="D232" s="14">
        <v>4</v>
      </c>
      <c r="E232" s="15">
        <v>305.52999999999997</v>
      </c>
      <c r="F232" s="16" t="s">
        <v>8</v>
      </c>
      <c r="G232" s="38" t="str">
        <f>HYPERLINK("http://enext.ua/i0180026")</f>
        <v>http://enext.ua/i0180026</v>
      </c>
    </row>
    <row r="233" spans="2:7" ht="11.25" outlineLevel="5" x14ac:dyDescent="0.2">
      <c r="B233" s="14" t="s">
        <v>440</v>
      </c>
      <c r="C233" s="14" t="s">
        <v>441</v>
      </c>
      <c r="D233" s="14">
        <v>4</v>
      </c>
      <c r="E233" s="15">
        <v>305.52999999999997</v>
      </c>
      <c r="F233" s="16" t="s">
        <v>8</v>
      </c>
      <c r="G233" s="38" t="str">
        <f>HYPERLINK("http://enext.ua/i0180027")</f>
        <v>http://enext.ua/i0180027</v>
      </c>
    </row>
    <row r="234" spans="2:7" ht="11.25" outlineLevel="5" x14ac:dyDescent="0.2">
      <c r="B234" s="14" t="s">
        <v>442</v>
      </c>
      <c r="C234" s="14" t="s">
        <v>443</v>
      </c>
      <c r="D234" s="14">
        <v>1</v>
      </c>
      <c r="E234" s="15">
        <v>404.97</v>
      </c>
      <c r="F234" s="16" t="s">
        <v>8</v>
      </c>
      <c r="G234" s="38" t="str">
        <f>HYPERLINK("http://enext.ua/i0180028")</f>
        <v>http://enext.ua/i0180028</v>
      </c>
    </row>
    <row r="235" spans="2:7" ht="11.25" outlineLevel="5" x14ac:dyDescent="0.2">
      <c r="B235" s="14" t="s">
        <v>444</v>
      </c>
      <c r="C235" s="14" t="s">
        <v>445</v>
      </c>
      <c r="D235" s="14">
        <v>1</v>
      </c>
      <c r="E235" s="15">
        <v>417.25</v>
      </c>
      <c r="F235" s="16" t="s">
        <v>8</v>
      </c>
      <c r="G235" s="38" t="str">
        <f>HYPERLINK("http://enext.ua/i0180029")</f>
        <v>http://enext.ua/i0180029</v>
      </c>
    </row>
    <row r="236" spans="2:7" ht="11.25" outlineLevel="5" x14ac:dyDescent="0.2">
      <c r="B236" s="14" t="s">
        <v>446</v>
      </c>
      <c r="C236" s="14" t="s">
        <v>447</v>
      </c>
      <c r="D236" s="14">
        <v>1</v>
      </c>
      <c r="E236" s="15">
        <v>409.78</v>
      </c>
      <c r="F236" s="16" t="s">
        <v>8</v>
      </c>
      <c r="G236" s="38" t="str">
        <f>HYPERLINK("http://enext.ua/i0180030")</f>
        <v>http://enext.ua/i0180030</v>
      </c>
    </row>
    <row r="237" spans="2:7" ht="11.25" outlineLevel="5" x14ac:dyDescent="0.2">
      <c r="B237" s="14" t="s">
        <v>448</v>
      </c>
      <c r="C237" s="14" t="s">
        <v>449</v>
      </c>
      <c r="D237" s="14">
        <v>1</v>
      </c>
      <c r="E237" s="15">
        <v>409.79</v>
      </c>
      <c r="F237" s="16" t="s">
        <v>8</v>
      </c>
      <c r="G237" s="38" t="str">
        <f>HYPERLINK("http://enext.ua/i0180031")</f>
        <v>http://enext.ua/i0180031</v>
      </c>
    </row>
    <row r="238" spans="2:7" ht="11.25" outlineLevel="5" x14ac:dyDescent="0.2">
      <c r="B238" s="14" t="s">
        <v>450</v>
      </c>
      <c r="C238" s="14" t="s">
        <v>451</v>
      </c>
      <c r="D238" s="14">
        <v>1</v>
      </c>
      <c r="E238" s="15">
        <v>409.79</v>
      </c>
      <c r="F238" s="16" t="s">
        <v>8</v>
      </c>
      <c r="G238" s="38" t="str">
        <f>HYPERLINK("http://enext.ua/i0180032")</f>
        <v>http://enext.ua/i0180032</v>
      </c>
    </row>
    <row r="239" spans="2:7" ht="11.25" outlineLevel="5" x14ac:dyDescent="0.2">
      <c r="B239" s="14" t="s">
        <v>452</v>
      </c>
      <c r="C239" s="14" t="s">
        <v>453</v>
      </c>
      <c r="D239" s="14">
        <v>1</v>
      </c>
      <c r="E239" s="15">
        <v>397.51</v>
      </c>
      <c r="F239" s="16" t="s">
        <v>8</v>
      </c>
      <c r="G239" s="38" t="str">
        <f>HYPERLINK("http://enext.ua/i0180033")</f>
        <v>http://enext.ua/i0180033</v>
      </c>
    </row>
    <row r="240" spans="2:7" ht="11.25" outlineLevel="5" x14ac:dyDescent="0.2">
      <c r="B240" s="14" t="s">
        <v>454</v>
      </c>
      <c r="C240" s="14" t="s">
        <v>455</v>
      </c>
      <c r="D240" s="14">
        <v>1</v>
      </c>
      <c r="E240" s="15">
        <v>419.42</v>
      </c>
      <c r="F240" s="16" t="s">
        <v>8</v>
      </c>
      <c r="G240" s="38" t="str">
        <f>HYPERLINK("http://enext.ua/i0180034")</f>
        <v>http://enext.ua/i0180034</v>
      </c>
    </row>
    <row r="241" spans="2:7" ht="11.25" outlineLevel="5" x14ac:dyDescent="0.2">
      <c r="B241" s="14" t="s">
        <v>456</v>
      </c>
      <c r="C241" s="14" t="s">
        <v>457</v>
      </c>
      <c r="D241" s="14">
        <v>1</v>
      </c>
      <c r="E241" s="15">
        <v>408.1</v>
      </c>
      <c r="F241" s="16" t="s">
        <v>8</v>
      </c>
      <c r="G241" s="38" t="str">
        <f>HYPERLINK("http://enext.ua/i0180035")</f>
        <v>http://enext.ua/i0180035</v>
      </c>
    </row>
    <row r="242" spans="2:7" ht="11.25" outlineLevel="5" x14ac:dyDescent="0.2">
      <c r="B242" s="14" t="s">
        <v>458</v>
      </c>
      <c r="C242" s="14" t="s">
        <v>459</v>
      </c>
      <c r="D242" s="14">
        <v>1</v>
      </c>
      <c r="E242" s="15">
        <v>409.79</v>
      </c>
      <c r="F242" s="16" t="s">
        <v>8</v>
      </c>
      <c r="G242" s="38" t="str">
        <f>HYPERLINK("http://enext.ua/i0180036")</f>
        <v>http://enext.ua/i0180036</v>
      </c>
    </row>
    <row r="243" spans="2:7" ht="12" outlineLevel="4" x14ac:dyDescent="0.2">
      <c r="B243" s="12"/>
      <c r="C243" s="37" t="s">
        <v>460</v>
      </c>
      <c r="D243" s="12"/>
      <c r="E243" s="13"/>
      <c r="F243" s="13"/>
      <c r="G243" s="12"/>
    </row>
    <row r="244" spans="2:7" ht="11.25" outlineLevel="5" x14ac:dyDescent="0.2">
      <c r="B244" s="14" t="s">
        <v>461</v>
      </c>
      <c r="C244" s="14" t="s">
        <v>462</v>
      </c>
      <c r="D244" s="14">
        <v>1</v>
      </c>
      <c r="E244" s="15">
        <v>49.12</v>
      </c>
      <c r="F244" s="16" t="s">
        <v>8</v>
      </c>
      <c r="G244" s="38" t="str">
        <f>HYPERLINK("http://enext.ua/i0170001")</f>
        <v>http://enext.ua/i0170001</v>
      </c>
    </row>
    <row r="245" spans="2:7" ht="11.25" outlineLevel="5" x14ac:dyDescent="0.2">
      <c r="B245" s="14" t="s">
        <v>463</v>
      </c>
      <c r="C245" s="14" t="s">
        <v>464</v>
      </c>
      <c r="D245" s="14">
        <v>1</v>
      </c>
      <c r="E245" s="15">
        <v>49.12</v>
      </c>
      <c r="F245" s="16" t="s">
        <v>8</v>
      </c>
      <c r="G245" s="38" t="str">
        <f>HYPERLINK("http://enext.ua/i0170003")</f>
        <v>http://enext.ua/i0170003</v>
      </c>
    </row>
    <row r="246" spans="2:7" ht="11.25" outlineLevel="5" x14ac:dyDescent="0.2">
      <c r="B246" s="14" t="s">
        <v>465</v>
      </c>
      <c r="C246" s="14" t="s">
        <v>466</v>
      </c>
      <c r="D246" s="14">
        <v>1</v>
      </c>
      <c r="E246" s="15">
        <v>49.12</v>
      </c>
      <c r="F246" s="16" t="s">
        <v>8</v>
      </c>
      <c r="G246" s="38" t="str">
        <f>HYPERLINK("http://enext.ua/i0170004")</f>
        <v>http://enext.ua/i0170004</v>
      </c>
    </row>
    <row r="247" spans="2:7" ht="11.25" outlineLevel="5" x14ac:dyDescent="0.2">
      <c r="B247" s="14" t="s">
        <v>467</v>
      </c>
      <c r="C247" s="14" t="s">
        <v>468</v>
      </c>
      <c r="D247" s="14">
        <v>1</v>
      </c>
      <c r="E247" s="15">
        <v>49.12</v>
      </c>
      <c r="F247" s="16" t="s">
        <v>8</v>
      </c>
      <c r="G247" s="38" t="str">
        <f>HYPERLINK("http://enext.ua/i0170005")</f>
        <v>http://enext.ua/i0170005</v>
      </c>
    </row>
    <row r="248" spans="2:7" ht="11.25" outlineLevel="5" x14ac:dyDescent="0.2">
      <c r="B248" s="14" t="s">
        <v>469</v>
      </c>
      <c r="C248" s="14" t="s">
        <v>470</v>
      </c>
      <c r="D248" s="14">
        <v>1</v>
      </c>
      <c r="E248" s="15">
        <v>49.12</v>
      </c>
      <c r="F248" s="16" t="s">
        <v>8</v>
      </c>
      <c r="G248" s="38" t="str">
        <f>HYPERLINK("http://enext.ua/i0170006")</f>
        <v>http://enext.ua/i0170006</v>
      </c>
    </row>
    <row r="249" spans="2:7" ht="11.25" outlineLevel="5" x14ac:dyDescent="0.2">
      <c r="B249" s="14" t="s">
        <v>471</v>
      </c>
      <c r="C249" s="14" t="s">
        <v>472</v>
      </c>
      <c r="D249" s="14">
        <v>1</v>
      </c>
      <c r="E249" s="15">
        <v>54.21</v>
      </c>
      <c r="F249" s="16" t="s">
        <v>8</v>
      </c>
      <c r="G249" s="38" t="str">
        <f>HYPERLINK("http://enext.ua/i0190001")</f>
        <v>http://enext.ua/i0190001</v>
      </c>
    </row>
    <row r="250" spans="2:7" ht="11.25" outlineLevel="5" x14ac:dyDescent="0.2">
      <c r="B250" s="14" t="s">
        <v>473</v>
      </c>
      <c r="C250" s="14" t="s">
        <v>474</v>
      </c>
      <c r="D250" s="14">
        <v>1</v>
      </c>
      <c r="E250" s="15">
        <v>54.21</v>
      </c>
      <c r="F250" s="16" t="s">
        <v>8</v>
      </c>
      <c r="G250" s="38" t="str">
        <f>HYPERLINK("http://enext.ua/i0190002")</f>
        <v>http://enext.ua/i0190002</v>
      </c>
    </row>
    <row r="251" spans="2:7" ht="11.25" outlineLevel="5" x14ac:dyDescent="0.2">
      <c r="B251" s="14" t="s">
        <v>475</v>
      </c>
      <c r="C251" s="14" t="s">
        <v>476</v>
      </c>
      <c r="D251" s="14">
        <v>1</v>
      </c>
      <c r="E251" s="15">
        <v>54.21</v>
      </c>
      <c r="F251" s="16" t="s">
        <v>8</v>
      </c>
      <c r="G251" s="38" t="str">
        <f>HYPERLINK("http://enext.ua/i0190003")</f>
        <v>http://enext.ua/i0190003</v>
      </c>
    </row>
    <row r="252" spans="2:7" ht="11.25" outlineLevel="5" x14ac:dyDescent="0.2">
      <c r="B252" s="14" t="s">
        <v>477</v>
      </c>
      <c r="C252" s="14" t="s">
        <v>478</v>
      </c>
      <c r="D252" s="14">
        <v>1</v>
      </c>
      <c r="E252" s="15">
        <v>54.21</v>
      </c>
      <c r="F252" s="16" t="s">
        <v>8</v>
      </c>
      <c r="G252" s="38" t="str">
        <f>HYPERLINK("http://enext.ua/i0190004")</f>
        <v>http://enext.ua/i0190004</v>
      </c>
    </row>
    <row r="253" spans="2:7" ht="11.25" outlineLevel="5" x14ac:dyDescent="0.2">
      <c r="B253" s="14" t="s">
        <v>479</v>
      </c>
      <c r="C253" s="14" t="s">
        <v>480</v>
      </c>
      <c r="D253" s="14">
        <v>1</v>
      </c>
      <c r="E253" s="15">
        <v>54.21</v>
      </c>
      <c r="F253" s="16" t="s">
        <v>8</v>
      </c>
      <c r="G253" s="38" t="str">
        <f>HYPERLINK("http://enext.ua/i0190005")</f>
        <v>http://enext.ua/i0190005</v>
      </c>
    </row>
    <row r="254" spans="2:7" ht="11.25" outlineLevel="5" x14ac:dyDescent="0.2">
      <c r="B254" s="14" t="s">
        <v>481</v>
      </c>
      <c r="C254" s="14" t="s">
        <v>482</v>
      </c>
      <c r="D254" s="14">
        <v>1</v>
      </c>
      <c r="E254" s="15">
        <v>54.21</v>
      </c>
      <c r="F254" s="16" t="s">
        <v>8</v>
      </c>
      <c r="G254" s="38" t="str">
        <f>HYPERLINK("http://enext.ua/i0190006")</f>
        <v>http://enext.ua/i0190006</v>
      </c>
    </row>
    <row r="255" spans="2:7" ht="11.25" outlineLevel="5" x14ac:dyDescent="0.2">
      <c r="B255" s="14" t="s">
        <v>483</v>
      </c>
      <c r="C255" s="14" t="s">
        <v>484</v>
      </c>
      <c r="D255" s="14">
        <v>1</v>
      </c>
      <c r="E255" s="15">
        <v>57.22</v>
      </c>
      <c r="F255" s="16" t="s">
        <v>8</v>
      </c>
      <c r="G255" s="38" t="str">
        <f>HYPERLINK("http://enext.ua/i0190007")</f>
        <v>http://enext.ua/i0190007</v>
      </c>
    </row>
    <row r="256" spans="2:7" ht="11.25" outlineLevel="5" x14ac:dyDescent="0.2">
      <c r="B256" s="14" t="s">
        <v>485</v>
      </c>
      <c r="C256" s="14" t="s">
        <v>486</v>
      </c>
      <c r="D256" s="14">
        <v>1</v>
      </c>
      <c r="E256" s="15">
        <v>57.22</v>
      </c>
      <c r="F256" s="16" t="s">
        <v>8</v>
      </c>
      <c r="G256" s="38" t="str">
        <f>HYPERLINK("http://enext.ua/i0190008")</f>
        <v>http://enext.ua/i0190008</v>
      </c>
    </row>
    <row r="257" spans="2:7" ht="11.25" outlineLevel="5" x14ac:dyDescent="0.2">
      <c r="B257" s="14" t="s">
        <v>487</v>
      </c>
      <c r="C257" s="14" t="s">
        <v>488</v>
      </c>
      <c r="D257" s="14">
        <v>1</v>
      </c>
      <c r="E257" s="15">
        <v>57.22</v>
      </c>
      <c r="F257" s="16" t="s">
        <v>8</v>
      </c>
      <c r="G257" s="38" t="str">
        <f>HYPERLINK("http://enext.ua/i0190009")</f>
        <v>http://enext.ua/i0190009</v>
      </c>
    </row>
    <row r="258" spans="2:7" ht="11.25" outlineLevel="5" x14ac:dyDescent="0.2">
      <c r="B258" s="14" t="s">
        <v>489</v>
      </c>
      <c r="C258" s="14" t="s">
        <v>490</v>
      </c>
      <c r="D258" s="14">
        <v>1</v>
      </c>
      <c r="E258" s="15">
        <v>127.37</v>
      </c>
      <c r="F258" s="16" t="s">
        <v>8</v>
      </c>
      <c r="G258" s="38" t="str">
        <f>HYPERLINK("http://enext.ua/i0190010")</f>
        <v>http://enext.ua/i0190010</v>
      </c>
    </row>
    <row r="259" spans="2:7" ht="11.25" outlineLevel="5" x14ac:dyDescent="0.2">
      <c r="B259" s="14" t="s">
        <v>491</v>
      </c>
      <c r="C259" s="14" t="s">
        <v>492</v>
      </c>
      <c r="D259" s="14">
        <v>1</v>
      </c>
      <c r="E259" s="15">
        <v>127.37</v>
      </c>
      <c r="F259" s="16" t="s">
        <v>8</v>
      </c>
      <c r="G259" s="38" t="str">
        <f>HYPERLINK("http://enext.ua/i0190011")</f>
        <v>http://enext.ua/i0190011</v>
      </c>
    </row>
    <row r="260" spans="2:7" ht="11.25" outlineLevel="5" x14ac:dyDescent="0.2">
      <c r="B260" s="14" t="s">
        <v>493</v>
      </c>
      <c r="C260" s="14" t="s">
        <v>494</v>
      </c>
      <c r="D260" s="14">
        <v>1</v>
      </c>
      <c r="E260" s="15">
        <v>127.37</v>
      </c>
      <c r="F260" s="16" t="s">
        <v>8</v>
      </c>
      <c r="G260" s="38" t="str">
        <f>HYPERLINK("http://enext.ua/i0190013")</f>
        <v>http://enext.ua/i0190013</v>
      </c>
    </row>
    <row r="261" spans="2:7" ht="11.25" outlineLevel="5" x14ac:dyDescent="0.2">
      <c r="B261" s="14" t="s">
        <v>495</v>
      </c>
      <c r="C261" s="14" t="s">
        <v>496</v>
      </c>
      <c r="D261" s="14">
        <v>1</v>
      </c>
      <c r="E261" s="15">
        <v>127.37</v>
      </c>
      <c r="F261" s="16" t="s">
        <v>8</v>
      </c>
      <c r="G261" s="38" t="str">
        <f>HYPERLINK("http://enext.ua/i0190014")</f>
        <v>http://enext.ua/i0190014</v>
      </c>
    </row>
    <row r="262" spans="2:7" ht="11.25" outlineLevel="5" x14ac:dyDescent="0.2">
      <c r="B262" s="14" t="s">
        <v>497</v>
      </c>
      <c r="C262" s="14" t="s">
        <v>498</v>
      </c>
      <c r="D262" s="14">
        <v>1</v>
      </c>
      <c r="E262" s="15">
        <v>127.37</v>
      </c>
      <c r="F262" s="16" t="s">
        <v>8</v>
      </c>
      <c r="G262" s="38" t="str">
        <f>HYPERLINK("http://enext.ua/i0190015")</f>
        <v>http://enext.ua/i0190015</v>
      </c>
    </row>
    <row r="263" spans="2:7" ht="11.25" outlineLevel="5" x14ac:dyDescent="0.2">
      <c r="B263" s="14" t="s">
        <v>499</v>
      </c>
      <c r="C263" s="14" t="s">
        <v>500</v>
      </c>
      <c r="D263" s="14">
        <v>1</v>
      </c>
      <c r="E263" s="15">
        <v>130.11000000000001</v>
      </c>
      <c r="F263" s="16" t="s">
        <v>8</v>
      </c>
      <c r="G263" s="38" t="str">
        <f>HYPERLINK("http://enext.ua/i0190016")</f>
        <v>http://enext.ua/i0190016</v>
      </c>
    </row>
    <row r="264" spans="2:7" ht="11.25" outlineLevel="5" x14ac:dyDescent="0.2">
      <c r="B264" s="14" t="s">
        <v>501</v>
      </c>
      <c r="C264" s="14" t="s">
        <v>502</v>
      </c>
      <c r="D264" s="14">
        <v>1</v>
      </c>
      <c r="E264" s="15">
        <v>130.11000000000001</v>
      </c>
      <c r="F264" s="16" t="s">
        <v>8</v>
      </c>
      <c r="G264" s="38" t="str">
        <f>HYPERLINK("http://enext.ua/i0190017")</f>
        <v>http://enext.ua/i0190017</v>
      </c>
    </row>
    <row r="265" spans="2:7" ht="11.25" outlineLevel="5" x14ac:dyDescent="0.2">
      <c r="B265" s="14" t="s">
        <v>503</v>
      </c>
      <c r="C265" s="14" t="s">
        <v>504</v>
      </c>
      <c r="D265" s="14">
        <v>1</v>
      </c>
      <c r="E265" s="15">
        <v>130.11000000000001</v>
      </c>
      <c r="F265" s="16" t="s">
        <v>8</v>
      </c>
      <c r="G265" s="38" t="str">
        <f>HYPERLINK("http://enext.ua/i0190018")</f>
        <v>http://enext.ua/i0190018</v>
      </c>
    </row>
    <row r="266" spans="2:7" ht="12" outlineLevel="4" x14ac:dyDescent="0.2">
      <c r="B266" s="12"/>
      <c r="C266" s="37" t="s">
        <v>505</v>
      </c>
      <c r="D266" s="12"/>
      <c r="E266" s="13"/>
      <c r="F266" s="13"/>
      <c r="G266" s="12"/>
    </row>
    <row r="267" spans="2:7" ht="11.25" outlineLevel="5" x14ac:dyDescent="0.2">
      <c r="B267" s="14" t="s">
        <v>506</v>
      </c>
      <c r="C267" s="14" t="s">
        <v>507</v>
      </c>
      <c r="D267" s="14">
        <v>4</v>
      </c>
      <c r="E267" s="15">
        <v>335.37</v>
      </c>
      <c r="F267" s="16" t="s">
        <v>8</v>
      </c>
      <c r="G267" s="38" t="str">
        <f>HYPERLINK("http://enext.ua/i0200001")</f>
        <v>http://enext.ua/i0200001</v>
      </c>
    </row>
    <row r="268" spans="2:7" ht="11.25" outlineLevel="5" x14ac:dyDescent="0.2">
      <c r="B268" s="14" t="s">
        <v>508</v>
      </c>
      <c r="C268" s="14" t="s">
        <v>509</v>
      </c>
      <c r="D268" s="14">
        <v>4</v>
      </c>
      <c r="E268" s="15">
        <v>335.37</v>
      </c>
      <c r="F268" s="16" t="s">
        <v>8</v>
      </c>
      <c r="G268" s="38" t="str">
        <f>HYPERLINK("http://enext.ua/i0200002")</f>
        <v>http://enext.ua/i0200002</v>
      </c>
    </row>
    <row r="269" spans="2:7" ht="11.25" outlineLevel="5" x14ac:dyDescent="0.2">
      <c r="B269" s="14" t="s">
        <v>510</v>
      </c>
      <c r="C269" s="14" t="s">
        <v>511</v>
      </c>
      <c r="D269" s="14">
        <v>4</v>
      </c>
      <c r="E269" s="15">
        <v>328.57</v>
      </c>
      <c r="F269" s="16" t="s">
        <v>8</v>
      </c>
      <c r="G269" s="38" t="str">
        <f>HYPERLINK("http://enext.ua/i0200003")</f>
        <v>http://enext.ua/i0200003</v>
      </c>
    </row>
    <row r="270" spans="2:7" ht="11.25" outlineLevel="5" x14ac:dyDescent="0.2">
      <c r="B270" s="14" t="s">
        <v>512</v>
      </c>
      <c r="C270" s="14" t="s">
        <v>513</v>
      </c>
      <c r="D270" s="14">
        <v>4</v>
      </c>
      <c r="E270" s="15">
        <v>328.57</v>
      </c>
      <c r="F270" s="16" t="s">
        <v>8</v>
      </c>
      <c r="G270" s="38" t="str">
        <f>HYPERLINK("http://enext.ua/i0200004")</f>
        <v>http://enext.ua/i0200004</v>
      </c>
    </row>
    <row r="271" spans="2:7" ht="11.25" outlineLevel="5" x14ac:dyDescent="0.2">
      <c r="B271" s="14" t="s">
        <v>514</v>
      </c>
      <c r="C271" s="14" t="s">
        <v>515</v>
      </c>
      <c r="D271" s="14">
        <v>4</v>
      </c>
      <c r="E271" s="15">
        <v>335.37</v>
      </c>
      <c r="F271" s="16" t="s">
        <v>8</v>
      </c>
      <c r="G271" s="38" t="str">
        <f>HYPERLINK("http://enext.ua/i0200005")</f>
        <v>http://enext.ua/i0200005</v>
      </c>
    </row>
    <row r="272" spans="2:7" ht="11.25" outlineLevel="5" x14ac:dyDescent="0.2">
      <c r="B272" s="14" t="s">
        <v>516</v>
      </c>
      <c r="C272" s="14" t="s">
        <v>517</v>
      </c>
      <c r="D272" s="14">
        <v>4</v>
      </c>
      <c r="E272" s="15">
        <v>336.79</v>
      </c>
      <c r="F272" s="16" t="s">
        <v>8</v>
      </c>
      <c r="G272" s="38" t="str">
        <f>HYPERLINK("http://enext.ua/i0200006")</f>
        <v>http://enext.ua/i0200006</v>
      </c>
    </row>
    <row r="273" spans="2:7" ht="11.25" outlineLevel="5" x14ac:dyDescent="0.2">
      <c r="B273" s="14" t="s">
        <v>518</v>
      </c>
      <c r="C273" s="14" t="s">
        <v>519</v>
      </c>
      <c r="D273" s="14">
        <v>4</v>
      </c>
      <c r="E273" s="15">
        <v>336.79</v>
      </c>
      <c r="F273" s="16" t="s">
        <v>8</v>
      </c>
      <c r="G273" s="38" t="str">
        <f>HYPERLINK("http://enext.ua/i0200007")</f>
        <v>http://enext.ua/i0200007</v>
      </c>
    </row>
    <row r="274" spans="2:7" ht="11.25" outlineLevel="5" x14ac:dyDescent="0.2">
      <c r="B274" s="14" t="s">
        <v>520</v>
      </c>
      <c r="C274" s="14" t="s">
        <v>521</v>
      </c>
      <c r="D274" s="14">
        <v>4</v>
      </c>
      <c r="E274" s="15">
        <v>336.79</v>
      </c>
      <c r="F274" s="16" t="s">
        <v>8</v>
      </c>
      <c r="G274" s="38" t="str">
        <f>HYPERLINK("http://enext.ua/i0200008")</f>
        <v>http://enext.ua/i0200008</v>
      </c>
    </row>
    <row r="275" spans="2:7" ht="11.25" outlineLevel="5" x14ac:dyDescent="0.2">
      <c r="B275" s="14" t="s">
        <v>522</v>
      </c>
      <c r="C275" s="14" t="s">
        <v>523</v>
      </c>
      <c r="D275" s="14">
        <v>4</v>
      </c>
      <c r="E275" s="15">
        <v>336.79</v>
      </c>
      <c r="F275" s="16" t="s">
        <v>8</v>
      </c>
      <c r="G275" s="38" t="str">
        <f>HYPERLINK("http://enext.ua/i0200009")</f>
        <v>http://enext.ua/i0200009</v>
      </c>
    </row>
    <row r="276" spans="2:7" ht="11.25" outlineLevel="5" x14ac:dyDescent="0.2">
      <c r="B276" s="14" t="s">
        <v>524</v>
      </c>
      <c r="C276" s="14" t="s">
        <v>525</v>
      </c>
      <c r="D276" s="14">
        <v>1</v>
      </c>
      <c r="E276" s="15">
        <v>147.47999999999999</v>
      </c>
      <c r="F276" s="16" t="s">
        <v>8</v>
      </c>
      <c r="G276" s="38" t="str">
        <f>HYPERLINK("http://enext.ua/i.0210001")</f>
        <v>http://enext.ua/i.0210001</v>
      </c>
    </row>
    <row r="277" spans="2:7" ht="11.25" outlineLevel="5" x14ac:dyDescent="0.2">
      <c r="B277" s="14" t="s">
        <v>526</v>
      </c>
      <c r="C277" s="14" t="s">
        <v>527</v>
      </c>
      <c r="D277" s="14">
        <v>1</v>
      </c>
      <c r="E277" s="15">
        <v>147.47999999999999</v>
      </c>
      <c r="F277" s="16" t="s">
        <v>8</v>
      </c>
      <c r="G277" s="38" t="str">
        <f>HYPERLINK("http://enext.ua/i.0210002")</f>
        <v>http://enext.ua/i.0210002</v>
      </c>
    </row>
    <row r="278" spans="2:7" ht="11.25" outlineLevel="5" x14ac:dyDescent="0.2">
      <c r="B278" s="14" t="s">
        <v>528</v>
      </c>
      <c r="C278" s="14" t="s">
        <v>529</v>
      </c>
      <c r="D278" s="14">
        <v>1</v>
      </c>
      <c r="E278" s="15">
        <v>147.47999999999999</v>
      </c>
      <c r="F278" s="16" t="s">
        <v>8</v>
      </c>
      <c r="G278" s="38" t="str">
        <f>HYPERLINK("http://enext.ua/i.0210003")</f>
        <v>http://enext.ua/i.0210003</v>
      </c>
    </row>
    <row r="279" spans="2:7" ht="11.25" outlineLevel="5" x14ac:dyDescent="0.2">
      <c r="B279" s="14" t="s">
        <v>530</v>
      </c>
      <c r="C279" s="14" t="s">
        <v>531</v>
      </c>
      <c r="D279" s="14">
        <v>1</v>
      </c>
      <c r="E279" s="15">
        <v>147.47999999999999</v>
      </c>
      <c r="F279" s="16" t="s">
        <v>8</v>
      </c>
      <c r="G279" s="38" t="str">
        <f>HYPERLINK("http://enext.ua/i.0210004")</f>
        <v>http://enext.ua/i.0210004</v>
      </c>
    </row>
    <row r="280" spans="2:7" ht="11.25" outlineLevel="5" x14ac:dyDescent="0.2">
      <c r="B280" s="14" t="s">
        <v>532</v>
      </c>
      <c r="C280" s="14" t="s">
        <v>533</v>
      </c>
      <c r="D280" s="14">
        <v>1</v>
      </c>
      <c r="E280" s="15">
        <v>147.47999999999999</v>
      </c>
      <c r="F280" s="16" t="s">
        <v>8</v>
      </c>
      <c r="G280" s="38" t="str">
        <f>HYPERLINK("http://enext.ua/i.0210005")</f>
        <v>http://enext.ua/i.0210005</v>
      </c>
    </row>
    <row r="281" spans="2:7" ht="11.25" outlineLevel="5" x14ac:dyDescent="0.2">
      <c r="B281" s="14" t="s">
        <v>534</v>
      </c>
      <c r="C281" s="14" t="s">
        <v>535</v>
      </c>
      <c r="D281" s="14">
        <v>1</v>
      </c>
      <c r="E281" s="15">
        <v>147.47999999999999</v>
      </c>
      <c r="F281" s="16" t="s">
        <v>8</v>
      </c>
      <c r="G281" s="38" t="str">
        <f>HYPERLINK("http://enext.ua/i.0210006")</f>
        <v>http://enext.ua/i.0210006</v>
      </c>
    </row>
    <row r="282" spans="2:7" ht="11.25" outlineLevel="5" x14ac:dyDescent="0.2">
      <c r="B282" s="14" t="s">
        <v>536</v>
      </c>
      <c r="C282" s="14" t="s">
        <v>537</v>
      </c>
      <c r="D282" s="14">
        <v>1</v>
      </c>
      <c r="E282" s="15">
        <v>147.47999999999999</v>
      </c>
      <c r="F282" s="16" t="s">
        <v>8</v>
      </c>
      <c r="G282" s="38" t="str">
        <f>HYPERLINK("http://enext.ua/i.0210007")</f>
        <v>http://enext.ua/i.0210007</v>
      </c>
    </row>
    <row r="283" spans="2:7" ht="12" outlineLevel="4" x14ac:dyDescent="0.2">
      <c r="B283" s="12"/>
      <c r="C283" s="37" t="s">
        <v>538</v>
      </c>
      <c r="D283" s="12"/>
      <c r="E283" s="13"/>
      <c r="F283" s="13"/>
      <c r="G283" s="12"/>
    </row>
    <row r="284" spans="2:7" ht="11.25" outlineLevel="5" x14ac:dyDescent="0.2">
      <c r="B284" s="14" t="s">
        <v>539</v>
      </c>
      <c r="C284" s="14" t="s">
        <v>540</v>
      </c>
      <c r="D284" s="14">
        <v>1</v>
      </c>
      <c r="E284" s="15">
        <v>363.4</v>
      </c>
      <c r="F284" s="16" t="s">
        <v>8</v>
      </c>
      <c r="G284" s="14"/>
    </row>
    <row r="285" spans="2:7" ht="11.25" outlineLevel="5" x14ac:dyDescent="0.2">
      <c r="B285" s="14" t="s">
        <v>541</v>
      </c>
      <c r="C285" s="14" t="s">
        <v>542</v>
      </c>
      <c r="D285" s="14">
        <v>2</v>
      </c>
      <c r="E285" s="17">
        <v>1162.24</v>
      </c>
      <c r="F285" s="16" t="s">
        <v>8</v>
      </c>
      <c r="G285" s="38" t="str">
        <f>HYPERLINK("http://enext.ua/i0630034")</f>
        <v>http://enext.ua/i0630034</v>
      </c>
    </row>
    <row r="286" spans="2:7" ht="11.25" outlineLevel="5" x14ac:dyDescent="0.2">
      <c r="B286" s="14" t="s">
        <v>543</v>
      </c>
      <c r="C286" s="14" t="s">
        <v>544</v>
      </c>
      <c r="D286" s="14">
        <v>2</v>
      </c>
      <c r="E286" s="17">
        <v>1162.24</v>
      </c>
      <c r="F286" s="16" t="s">
        <v>8</v>
      </c>
      <c r="G286" s="38" t="str">
        <f>HYPERLINK("http://enext.ua/i0630035")</f>
        <v>http://enext.ua/i0630035</v>
      </c>
    </row>
    <row r="287" spans="2:7" ht="11.25" outlineLevel="5" x14ac:dyDescent="0.2">
      <c r="B287" s="14" t="s">
        <v>545</v>
      </c>
      <c r="C287" s="14" t="s">
        <v>546</v>
      </c>
      <c r="D287" s="14">
        <v>1</v>
      </c>
      <c r="E287" s="17">
        <v>1162.24</v>
      </c>
      <c r="F287" s="16" t="s">
        <v>8</v>
      </c>
      <c r="G287" s="38" t="str">
        <f>HYPERLINK("http://enext.ua/i0630036")</f>
        <v>http://enext.ua/i0630036</v>
      </c>
    </row>
    <row r="288" spans="2:7" ht="11.25" outlineLevel="5" x14ac:dyDescent="0.2">
      <c r="B288" s="14" t="s">
        <v>547</v>
      </c>
      <c r="C288" s="14" t="s">
        <v>548</v>
      </c>
      <c r="D288" s="14">
        <v>2</v>
      </c>
      <c r="E288" s="17">
        <v>1162.24</v>
      </c>
      <c r="F288" s="16" t="s">
        <v>8</v>
      </c>
      <c r="G288" s="38" t="str">
        <f>HYPERLINK("http://enext.ua/i0630037")</f>
        <v>http://enext.ua/i0630037</v>
      </c>
    </row>
    <row r="289" spans="2:7" ht="12" outlineLevel="4" x14ac:dyDescent="0.2">
      <c r="B289" s="12"/>
      <c r="C289" s="37" t="s">
        <v>549</v>
      </c>
      <c r="D289" s="12"/>
      <c r="E289" s="13"/>
      <c r="F289" s="13"/>
      <c r="G289" s="12"/>
    </row>
    <row r="290" spans="2:7" ht="11.25" outlineLevel="5" x14ac:dyDescent="0.2">
      <c r="B290" s="14" t="s">
        <v>550</v>
      </c>
      <c r="C290" s="14" t="s">
        <v>551</v>
      </c>
      <c r="D290" s="14">
        <v>1</v>
      </c>
      <c r="E290" s="15">
        <v>372.24</v>
      </c>
      <c r="F290" s="16" t="s">
        <v>8</v>
      </c>
      <c r="G290" s="38" t="str">
        <f>HYPERLINK("http://enext.ua/i0630001")</f>
        <v>http://enext.ua/i0630001</v>
      </c>
    </row>
    <row r="291" spans="2:7" ht="11.25" outlineLevel="5" x14ac:dyDescent="0.2">
      <c r="B291" s="14" t="s">
        <v>552</v>
      </c>
      <c r="C291" s="14" t="s">
        <v>553</v>
      </c>
      <c r="D291" s="14">
        <v>1</v>
      </c>
      <c r="E291" s="15">
        <v>434.91</v>
      </c>
      <c r="F291" s="16" t="s">
        <v>8</v>
      </c>
      <c r="G291" s="38" t="str">
        <f>HYPERLINK("http://enext.ua/i0630002")</f>
        <v>http://enext.ua/i0630002</v>
      </c>
    </row>
    <row r="292" spans="2:7" ht="11.25" outlineLevel="5" x14ac:dyDescent="0.2">
      <c r="B292" s="14" t="s">
        <v>554</v>
      </c>
      <c r="C292" s="14" t="s">
        <v>555</v>
      </c>
      <c r="D292" s="14">
        <v>12</v>
      </c>
      <c r="E292" s="15">
        <v>493.76</v>
      </c>
      <c r="F292" s="16" t="s">
        <v>8</v>
      </c>
      <c r="G292" s="38" t="str">
        <f>HYPERLINK("http://enext.ua/i0630003")</f>
        <v>http://enext.ua/i0630003</v>
      </c>
    </row>
    <row r="293" spans="2:7" ht="11.25" outlineLevel="5" x14ac:dyDescent="0.2">
      <c r="B293" s="14" t="s">
        <v>556</v>
      </c>
      <c r="C293" s="14" t="s">
        <v>557</v>
      </c>
      <c r="D293" s="14">
        <v>12</v>
      </c>
      <c r="E293" s="15">
        <v>506.24</v>
      </c>
      <c r="F293" s="16" t="s">
        <v>8</v>
      </c>
      <c r="G293" s="38" t="str">
        <f>HYPERLINK("http://enext.ua/i0630004")</f>
        <v>http://enext.ua/i0630004</v>
      </c>
    </row>
    <row r="294" spans="2:7" ht="11.25" outlineLevel="5" x14ac:dyDescent="0.2">
      <c r="B294" s="14" t="s">
        <v>558</v>
      </c>
      <c r="C294" s="14" t="s">
        <v>559</v>
      </c>
      <c r="D294" s="14">
        <v>1</v>
      </c>
      <c r="E294" s="15">
        <v>744.17</v>
      </c>
      <c r="F294" s="16" t="s">
        <v>8</v>
      </c>
      <c r="G294" s="38" t="str">
        <f>HYPERLINK("http://enext.ua/i0630005")</f>
        <v>http://enext.ua/i0630005</v>
      </c>
    </row>
    <row r="295" spans="2:7" ht="11.25" outlineLevel="5" x14ac:dyDescent="0.2">
      <c r="B295" s="14" t="s">
        <v>560</v>
      </c>
      <c r="C295" s="14" t="s">
        <v>561</v>
      </c>
      <c r="D295" s="14">
        <v>6</v>
      </c>
      <c r="E295" s="15">
        <v>942.79</v>
      </c>
      <c r="F295" s="16" t="s">
        <v>8</v>
      </c>
      <c r="G295" s="38" t="str">
        <f>HYPERLINK("http://enext.ua/i0630006")</f>
        <v>http://enext.ua/i0630006</v>
      </c>
    </row>
    <row r="296" spans="2:7" ht="11.25" outlineLevel="5" x14ac:dyDescent="0.2">
      <c r="B296" s="14" t="s">
        <v>562</v>
      </c>
      <c r="C296" s="14" t="s">
        <v>563</v>
      </c>
      <c r="D296" s="14">
        <v>1</v>
      </c>
      <c r="E296" s="15">
        <v>874.82</v>
      </c>
      <c r="F296" s="16" t="s">
        <v>8</v>
      </c>
      <c r="G296" s="38" t="str">
        <f>HYPERLINK("http://enext.ua/i0630007")</f>
        <v>http://enext.ua/i0630007</v>
      </c>
    </row>
    <row r="297" spans="2:7" ht="11.25" outlineLevel="5" x14ac:dyDescent="0.2">
      <c r="B297" s="14" t="s">
        <v>564</v>
      </c>
      <c r="C297" s="14" t="s">
        <v>565</v>
      </c>
      <c r="D297" s="14">
        <v>1</v>
      </c>
      <c r="E297" s="15">
        <v>879.53</v>
      </c>
      <c r="F297" s="16" t="s">
        <v>8</v>
      </c>
      <c r="G297" s="38" t="str">
        <f>HYPERLINK("http://enext.ua/i0630008")</f>
        <v>http://enext.ua/i0630008</v>
      </c>
    </row>
    <row r="298" spans="2:7" ht="11.25" outlineLevel="5" x14ac:dyDescent="0.2">
      <c r="B298" s="14" t="s">
        <v>566</v>
      </c>
      <c r="C298" s="14" t="s">
        <v>567</v>
      </c>
      <c r="D298" s="14">
        <v>1</v>
      </c>
      <c r="E298" s="17">
        <v>1004.29</v>
      </c>
      <c r="F298" s="16" t="s">
        <v>8</v>
      </c>
      <c r="G298" s="38" t="str">
        <f>HYPERLINK("http://enext.ua/i0630009")</f>
        <v>http://enext.ua/i0630009</v>
      </c>
    </row>
    <row r="299" spans="2:7" ht="11.25" outlineLevel="5" x14ac:dyDescent="0.2">
      <c r="B299" s="14" t="s">
        <v>568</v>
      </c>
      <c r="C299" s="14" t="s">
        <v>569</v>
      </c>
      <c r="D299" s="14">
        <v>1</v>
      </c>
      <c r="E299" s="17">
        <v>1413.59</v>
      </c>
      <c r="F299" s="16" t="s">
        <v>8</v>
      </c>
      <c r="G299" s="38" t="str">
        <f>HYPERLINK("http://enext.ua/i0630010")</f>
        <v>http://enext.ua/i0630010</v>
      </c>
    </row>
    <row r="300" spans="2:7" ht="11.25" outlineLevel="5" x14ac:dyDescent="0.2">
      <c r="B300" s="14" t="s">
        <v>570</v>
      </c>
      <c r="C300" s="14" t="s">
        <v>571</v>
      </c>
      <c r="D300" s="14">
        <v>4</v>
      </c>
      <c r="E300" s="17">
        <v>1481.86</v>
      </c>
      <c r="F300" s="16" t="s">
        <v>8</v>
      </c>
      <c r="G300" s="38" t="str">
        <f>HYPERLINK("http://enext.ua/i0630011")</f>
        <v>http://enext.ua/i0630011</v>
      </c>
    </row>
    <row r="301" spans="2:7" ht="11.25" outlineLevel="5" x14ac:dyDescent="0.2">
      <c r="B301" s="14" t="s">
        <v>572</v>
      </c>
      <c r="C301" s="14" t="s">
        <v>573</v>
      </c>
      <c r="D301" s="14">
        <v>4</v>
      </c>
      <c r="E301" s="17">
        <v>1321.1</v>
      </c>
      <c r="F301" s="16" t="s">
        <v>8</v>
      </c>
      <c r="G301" s="38" t="str">
        <f>HYPERLINK("http://enext.ua/i0630012")</f>
        <v>http://enext.ua/i0630012</v>
      </c>
    </row>
    <row r="302" spans="2:7" ht="24" outlineLevel="3" x14ac:dyDescent="0.2">
      <c r="B302" s="10"/>
      <c r="C302" s="36" t="s">
        <v>574</v>
      </c>
      <c r="D302" s="10"/>
      <c r="E302" s="11"/>
      <c r="F302" s="11"/>
      <c r="G302" s="10"/>
    </row>
    <row r="303" spans="2:7" ht="11.25" outlineLevel="4" x14ac:dyDescent="0.2">
      <c r="B303" s="14" t="s">
        <v>575</v>
      </c>
      <c r="C303" s="14" t="s">
        <v>576</v>
      </c>
      <c r="D303" s="14">
        <v>12</v>
      </c>
      <c r="E303" s="15">
        <v>155.33000000000001</v>
      </c>
      <c r="F303" s="16" t="s">
        <v>8</v>
      </c>
      <c r="G303" s="38" t="str">
        <f>HYPERLINK("http://enext.ua/p042100")</f>
        <v>http://enext.ua/p042100</v>
      </c>
    </row>
    <row r="304" spans="2:7" ht="11.25" outlineLevel="4" x14ac:dyDescent="0.2">
      <c r="B304" s="14" t="s">
        <v>577</v>
      </c>
      <c r="C304" s="14" t="s">
        <v>578</v>
      </c>
      <c r="D304" s="14">
        <v>1</v>
      </c>
      <c r="E304" s="15">
        <v>141.21</v>
      </c>
      <c r="F304" s="16" t="s">
        <v>8</v>
      </c>
      <c r="G304" s="14"/>
    </row>
    <row r="305" spans="2:7" ht="11.25" outlineLevel="4" x14ac:dyDescent="0.2">
      <c r="B305" s="14" t="s">
        <v>579</v>
      </c>
      <c r="C305" s="14" t="s">
        <v>580</v>
      </c>
      <c r="D305" s="14">
        <v>12</v>
      </c>
      <c r="E305" s="15">
        <v>154.19999999999999</v>
      </c>
      <c r="F305" s="16" t="s">
        <v>8</v>
      </c>
      <c r="G305" s="38" t="str">
        <f>HYPERLINK("http://enext.ua/p042101")</f>
        <v>http://enext.ua/p042101</v>
      </c>
    </row>
    <row r="306" spans="2:7" ht="11.25" outlineLevel="4" x14ac:dyDescent="0.2">
      <c r="B306" s="14" t="s">
        <v>581</v>
      </c>
      <c r="C306" s="14" t="s">
        <v>582</v>
      </c>
      <c r="D306" s="14">
        <v>1</v>
      </c>
      <c r="E306" s="15">
        <v>128.5</v>
      </c>
      <c r="F306" s="16" t="s">
        <v>8</v>
      </c>
      <c r="G306" s="14"/>
    </row>
    <row r="307" spans="2:7" ht="11.25" outlineLevel="4" x14ac:dyDescent="0.2">
      <c r="B307" s="14" t="s">
        <v>583</v>
      </c>
      <c r="C307" s="14" t="s">
        <v>584</v>
      </c>
      <c r="D307" s="14">
        <v>6</v>
      </c>
      <c r="E307" s="15">
        <v>234.76</v>
      </c>
      <c r="F307" s="16" t="s">
        <v>8</v>
      </c>
      <c r="G307" s="38" t="str">
        <f>HYPERLINK("http://enext.ua/p042103")</f>
        <v>http://enext.ua/p042103</v>
      </c>
    </row>
    <row r="308" spans="2:7" ht="12" outlineLevel="3" x14ac:dyDescent="0.2">
      <c r="B308" s="10"/>
      <c r="C308" s="36" t="s">
        <v>585</v>
      </c>
      <c r="D308" s="10"/>
      <c r="E308" s="11"/>
      <c r="F308" s="11"/>
      <c r="G308" s="10"/>
    </row>
    <row r="309" spans="2:7" ht="11.25" outlineLevel="4" x14ac:dyDescent="0.2">
      <c r="B309" s="14" t="s">
        <v>586</v>
      </c>
      <c r="C309" s="14" t="s">
        <v>587</v>
      </c>
      <c r="D309" s="14">
        <v>8</v>
      </c>
      <c r="E309" s="15">
        <v>137.5</v>
      </c>
      <c r="F309" s="16" t="s">
        <v>8</v>
      </c>
      <c r="G309" s="38" t="str">
        <f>HYPERLINK("http://enext.ua/i0250001")</f>
        <v>http://enext.ua/i0250001</v>
      </c>
    </row>
    <row r="310" spans="2:7" ht="11.25" outlineLevel="4" x14ac:dyDescent="0.2">
      <c r="B310" s="14" t="s">
        <v>588</v>
      </c>
      <c r="C310" s="14" t="s">
        <v>589</v>
      </c>
      <c r="D310" s="14">
        <v>8</v>
      </c>
      <c r="E310" s="15">
        <v>95.82</v>
      </c>
      <c r="F310" s="16" t="s">
        <v>8</v>
      </c>
      <c r="G310" s="38" t="str">
        <f>HYPERLINK("http://enext.ua/i0250002")</f>
        <v>http://enext.ua/i0250002</v>
      </c>
    </row>
    <row r="311" spans="2:7" ht="11.25" outlineLevel="4" x14ac:dyDescent="0.2">
      <c r="B311" s="14" t="s">
        <v>590</v>
      </c>
      <c r="C311" s="14" t="s">
        <v>591</v>
      </c>
      <c r="D311" s="14">
        <v>24</v>
      </c>
      <c r="E311" s="15">
        <v>92.4</v>
      </c>
      <c r="F311" s="16" t="s">
        <v>8</v>
      </c>
      <c r="G311" s="38" t="str">
        <f>HYPERLINK("http://enext.ua/i0240001")</f>
        <v>http://enext.ua/i0240001</v>
      </c>
    </row>
    <row r="312" spans="2:7" ht="11.25" outlineLevel="4" x14ac:dyDescent="0.2">
      <c r="B312" s="14" t="s">
        <v>592</v>
      </c>
      <c r="C312" s="14" t="s">
        <v>593</v>
      </c>
      <c r="D312" s="14">
        <v>1</v>
      </c>
      <c r="E312" s="15">
        <v>182.6</v>
      </c>
      <c r="F312" s="16" t="s">
        <v>8</v>
      </c>
      <c r="G312" s="38" t="str">
        <f>HYPERLINK("http://enext.ua/i0260001")</f>
        <v>http://enext.ua/i0260001</v>
      </c>
    </row>
    <row r="313" spans="2:7" ht="11.25" outlineLevel="4" x14ac:dyDescent="0.2">
      <c r="B313" s="14" t="s">
        <v>594</v>
      </c>
      <c r="C313" s="14" t="s">
        <v>595</v>
      </c>
      <c r="D313" s="14">
        <v>1</v>
      </c>
      <c r="E313" s="15">
        <v>182.6</v>
      </c>
      <c r="F313" s="16" t="s">
        <v>8</v>
      </c>
      <c r="G313" s="38" t="str">
        <f>HYPERLINK("http://enext.ua/i0260002")</f>
        <v>http://enext.ua/i0260002</v>
      </c>
    </row>
    <row r="314" spans="2:7" ht="12" outlineLevel="2" x14ac:dyDescent="0.2">
      <c r="B314" s="8"/>
      <c r="C314" s="35" t="s">
        <v>596</v>
      </c>
      <c r="D314" s="8"/>
      <c r="E314" s="9"/>
      <c r="F314" s="9"/>
      <c r="G314" s="8"/>
    </row>
    <row r="315" spans="2:7" ht="12" outlineLevel="3" x14ac:dyDescent="0.2">
      <c r="B315" s="10"/>
      <c r="C315" s="36" t="s">
        <v>597</v>
      </c>
      <c r="D315" s="10"/>
      <c r="E315" s="11"/>
      <c r="F315" s="11"/>
      <c r="G315" s="10"/>
    </row>
    <row r="316" spans="2:7" ht="11.25" outlineLevel="4" x14ac:dyDescent="0.2">
      <c r="B316" s="14" t="s">
        <v>598</v>
      </c>
      <c r="C316" s="14" t="s">
        <v>599</v>
      </c>
      <c r="D316" s="14">
        <v>1</v>
      </c>
      <c r="E316" s="15">
        <v>373.94</v>
      </c>
      <c r="F316" s="16" t="s">
        <v>8</v>
      </c>
      <c r="G316" s="38" t="str">
        <f>HYPERLINK("http://enext.ua/s034006")</f>
        <v>http://enext.ua/s034006</v>
      </c>
    </row>
    <row r="317" spans="2:7" ht="11.25" outlineLevel="4" x14ac:dyDescent="0.2">
      <c r="B317" s="14" t="s">
        <v>600</v>
      </c>
      <c r="C317" s="14" t="s">
        <v>601</v>
      </c>
      <c r="D317" s="14">
        <v>1</v>
      </c>
      <c r="E317" s="15">
        <v>385.77</v>
      </c>
      <c r="F317" s="16" t="s">
        <v>8</v>
      </c>
      <c r="G317" s="38" t="str">
        <f>HYPERLINK("http://enext.ua/s034007")</f>
        <v>http://enext.ua/s034007</v>
      </c>
    </row>
    <row r="318" spans="2:7" ht="11.25" outlineLevel="4" x14ac:dyDescent="0.2">
      <c r="B318" s="14" t="s">
        <v>602</v>
      </c>
      <c r="C318" s="14" t="s">
        <v>603</v>
      </c>
      <c r="D318" s="14">
        <v>1</v>
      </c>
      <c r="E318" s="15">
        <v>385.77</v>
      </c>
      <c r="F318" s="16" t="s">
        <v>8</v>
      </c>
      <c r="G318" s="38" t="str">
        <f>HYPERLINK("http://enext.ua/s034008")</f>
        <v>http://enext.ua/s034008</v>
      </c>
    </row>
    <row r="319" spans="2:7" ht="11.25" outlineLevel="4" x14ac:dyDescent="0.2">
      <c r="B319" s="14" t="s">
        <v>604</v>
      </c>
      <c r="C319" s="14" t="s">
        <v>605</v>
      </c>
      <c r="D319" s="14">
        <v>1</v>
      </c>
      <c r="E319" s="15">
        <v>532.75</v>
      </c>
      <c r="F319" s="16" t="s">
        <v>8</v>
      </c>
      <c r="G319" s="38" t="str">
        <f>HYPERLINK("http://enext.ua/s034009")</f>
        <v>http://enext.ua/s034009</v>
      </c>
    </row>
    <row r="320" spans="2:7" ht="11.25" outlineLevel="4" x14ac:dyDescent="0.2">
      <c r="B320" s="14" t="s">
        <v>606</v>
      </c>
      <c r="C320" s="14" t="s">
        <v>607</v>
      </c>
      <c r="D320" s="14">
        <v>1</v>
      </c>
      <c r="E320" s="15">
        <v>532.75</v>
      </c>
      <c r="F320" s="16" t="s">
        <v>8</v>
      </c>
      <c r="G320" s="38" t="str">
        <f>HYPERLINK("http://enext.ua/s034010")</f>
        <v>http://enext.ua/s034010</v>
      </c>
    </row>
    <row r="321" spans="2:7" ht="11.25" outlineLevel="4" x14ac:dyDescent="0.2">
      <c r="B321" s="14" t="s">
        <v>608</v>
      </c>
      <c r="C321" s="14" t="s">
        <v>609</v>
      </c>
      <c r="D321" s="14">
        <v>1</v>
      </c>
      <c r="E321" s="15">
        <v>330.63</v>
      </c>
      <c r="F321" s="16" t="s">
        <v>8</v>
      </c>
      <c r="G321" s="38" t="str">
        <f>HYPERLINK("http://enext.ua/s034011")</f>
        <v>http://enext.ua/s034011</v>
      </c>
    </row>
    <row r="322" spans="2:7" ht="11.25" outlineLevel="4" x14ac:dyDescent="0.2">
      <c r="B322" s="14" t="s">
        <v>610</v>
      </c>
      <c r="C322" s="14" t="s">
        <v>611</v>
      </c>
      <c r="D322" s="14">
        <v>1</v>
      </c>
      <c r="E322" s="15">
        <v>341.88</v>
      </c>
      <c r="F322" s="16" t="s">
        <v>8</v>
      </c>
      <c r="G322" s="38" t="str">
        <f>HYPERLINK("http://enext.ua/s034001")</f>
        <v>http://enext.ua/s034001</v>
      </c>
    </row>
    <row r="323" spans="2:7" ht="11.25" outlineLevel="4" x14ac:dyDescent="0.2">
      <c r="B323" s="14" t="s">
        <v>612</v>
      </c>
      <c r="C323" s="14" t="s">
        <v>613</v>
      </c>
      <c r="D323" s="14">
        <v>1</v>
      </c>
      <c r="E323" s="15">
        <v>341.88</v>
      </c>
      <c r="F323" s="16" t="s">
        <v>8</v>
      </c>
      <c r="G323" s="38" t="str">
        <f>HYPERLINK("http://enext.ua/s034002")</f>
        <v>http://enext.ua/s034002</v>
      </c>
    </row>
    <row r="324" spans="2:7" ht="11.25" outlineLevel="4" x14ac:dyDescent="0.2">
      <c r="B324" s="14" t="s">
        <v>614</v>
      </c>
      <c r="C324" s="14" t="s">
        <v>615</v>
      </c>
      <c r="D324" s="14">
        <v>1</v>
      </c>
      <c r="E324" s="15">
        <v>470.38</v>
      </c>
      <c r="F324" s="16" t="s">
        <v>8</v>
      </c>
      <c r="G324" s="38" t="str">
        <f>HYPERLINK("http://enext.ua/s034003")</f>
        <v>http://enext.ua/s034003</v>
      </c>
    </row>
    <row r="325" spans="2:7" ht="11.25" outlineLevel="4" x14ac:dyDescent="0.2">
      <c r="B325" s="14" t="s">
        <v>616</v>
      </c>
      <c r="C325" s="14" t="s">
        <v>617</v>
      </c>
      <c r="D325" s="14">
        <v>1</v>
      </c>
      <c r="E325" s="15">
        <v>470.38</v>
      </c>
      <c r="F325" s="16" t="s">
        <v>8</v>
      </c>
      <c r="G325" s="38" t="str">
        <f>HYPERLINK("http://enext.ua/s034004")</f>
        <v>http://enext.ua/s034004</v>
      </c>
    </row>
    <row r="326" spans="2:7" ht="11.25" outlineLevel="4" x14ac:dyDescent="0.2">
      <c r="B326" s="14" t="s">
        <v>618</v>
      </c>
      <c r="C326" s="14" t="s">
        <v>619</v>
      </c>
      <c r="D326" s="14">
        <v>1</v>
      </c>
      <c r="E326" s="15">
        <v>470.38</v>
      </c>
      <c r="F326" s="16" t="s">
        <v>8</v>
      </c>
      <c r="G326" s="38" t="str">
        <f>HYPERLINK("http://enext.ua/s034005")</f>
        <v>http://enext.ua/s034005</v>
      </c>
    </row>
    <row r="327" spans="2:7" ht="12" outlineLevel="3" x14ac:dyDescent="0.2">
      <c r="B327" s="10"/>
      <c r="C327" s="36" t="s">
        <v>620</v>
      </c>
      <c r="D327" s="10"/>
      <c r="E327" s="11"/>
      <c r="F327" s="11"/>
      <c r="G327" s="10"/>
    </row>
    <row r="328" spans="2:7" ht="11.25" outlineLevel="4" x14ac:dyDescent="0.2">
      <c r="B328" s="14" t="s">
        <v>621</v>
      </c>
      <c r="C328" s="14" t="s">
        <v>622</v>
      </c>
      <c r="D328" s="14">
        <v>1</v>
      </c>
      <c r="E328" s="15">
        <v>489.09</v>
      </c>
      <c r="F328" s="16" t="s">
        <v>8</v>
      </c>
      <c r="G328" s="38" t="str">
        <f>HYPERLINK("http://enext.ua/p003001")</f>
        <v>http://enext.ua/p003001</v>
      </c>
    </row>
    <row r="329" spans="2:7" ht="11.25" outlineLevel="4" x14ac:dyDescent="0.2">
      <c r="B329" s="14" t="s">
        <v>623</v>
      </c>
      <c r="C329" s="14" t="s">
        <v>624</v>
      </c>
      <c r="D329" s="14">
        <v>1</v>
      </c>
      <c r="E329" s="15">
        <v>535.87</v>
      </c>
      <c r="F329" s="16" t="s">
        <v>8</v>
      </c>
      <c r="G329" s="38" t="str">
        <f>HYPERLINK("http://enext.ua/p003002")</f>
        <v>http://enext.ua/p003002</v>
      </c>
    </row>
    <row r="330" spans="2:7" ht="11.25" outlineLevel="4" x14ac:dyDescent="0.2">
      <c r="B330" s="14" t="s">
        <v>625</v>
      </c>
      <c r="C330" s="14" t="s">
        <v>626</v>
      </c>
      <c r="D330" s="14">
        <v>1</v>
      </c>
      <c r="E330" s="15">
        <v>437.9</v>
      </c>
      <c r="F330" s="16" t="s">
        <v>8</v>
      </c>
      <c r="G330" s="38" t="str">
        <f>HYPERLINK("http://enext.ua/p003003")</f>
        <v>http://enext.ua/p003003</v>
      </c>
    </row>
    <row r="331" spans="2:7" ht="11.25" outlineLevel="4" x14ac:dyDescent="0.2">
      <c r="B331" s="14" t="s">
        <v>627</v>
      </c>
      <c r="C331" s="14" t="s">
        <v>628</v>
      </c>
      <c r="D331" s="14">
        <v>1</v>
      </c>
      <c r="E331" s="15">
        <v>437.9</v>
      </c>
      <c r="F331" s="16" t="s">
        <v>8</v>
      </c>
      <c r="G331" s="38" t="str">
        <f>HYPERLINK("http://enext.ua/p003004")</f>
        <v>http://enext.ua/p003004</v>
      </c>
    </row>
    <row r="332" spans="2:7" ht="11.25" outlineLevel="4" x14ac:dyDescent="0.2">
      <c r="B332" s="14" t="s">
        <v>629</v>
      </c>
      <c r="C332" s="14" t="s">
        <v>630</v>
      </c>
      <c r="D332" s="14">
        <v>1</v>
      </c>
      <c r="E332" s="15">
        <v>442.31</v>
      </c>
      <c r="F332" s="16" t="s">
        <v>8</v>
      </c>
      <c r="G332" s="38" t="str">
        <f>HYPERLINK("http://enext.ua/p003005")</f>
        <v>http://enext.ua/p003005</v>
      </c>
    </row>
    <row r="333" spans="2:7" ht="11.25" outlineLevel="4" x14ac:dyDescent="0.2">
      <c r="B333" s="14" t="s">
        <v>631</v>
      </c>
      <c r="C333" s="14" t="s">
        <v>632</v>
      </c>
      <c r="D333" s="14">
        <v>1</v>
      </c>
      <c r="E333" s="15">
        <v>442.83</v>
      </c>
      <c r="F333" s="16" t="s">
        <v>8</v>
      </c>
      <c r="G333" s="38" t="str">
        <f>HYPERLINK("http://enext.ua/p003006")</f>
        <v>http://enext.ua/p003006</v>
      </c>
    </row>
    <row r="334" spans="2:7" ht="11.25" outlineLevel="4" x14ac:dyDescent="0.2">
      <c r="B334" s="14" t="s">
        <v>633</v>
      </c>
      <c r="C334" s="14" t="s">
        <v>634</v>
      </c>
      <c r="D334" s="14">
        <v>1</v>
      </c>
      <c r="E334" s="15">
        <v>448.03</v>
      </c>
      <c r="F334" s="16" t="s">
        <v>8</v>
      </c>
      <c r="G334" s="38" t="str">
        <f>HYPERLINK("http://enext.ua/p003007")</f>
        <v>http://enext.ua/p003007</v>
      </c>
    </row>
    <row r="335" spans="2:7" ht="11.25" outlineLevel="4" x14ac:dyDescent="0.2">
      <c r="B335" s="14" t="s">
        <v>635</v>
      </c>
      <c r="C335" s="14" t="s">
        <v>636</v>
      </c>
      <c r="D335" s="14">
        <v>1</v>
      </c>
      <c r="E335" s="15">
        <v>645.79999999999995</v>
      </c>
      <c r="F335" s="16" t="s">
        <v>8</v>
      </c>
      <c r="G335" s="38" t="str">
        <f>HYPERLINK("http://enext.ua/p003018")</f>
        <v>http://enext.ua/p003018</v>
      </c>
    </row>
    <row r="336" spans="2:7" ht="11.25" outlineLevel="4" x14ac:dyDescent="0.2">
      <c r="B336" s="14" t="s">
        <v>637</v>
      </c>
      <c r="C336" s="14" t="s">
        <v>638</v>
      </c>
      <c r="D336" s="14">
        <v>1</v>
      </c>
      <c r="E336" s="15">
        <v>614.62</v>
      </c>
      <c r="F336" s="16" t="s">
        <v>8</v>
      </c>
      <c r="G336" s="38" t="str">
        <f>HYPERLINK("http://enext.ua/p003019")</f>
        <v>http://enext.ua/p003019</v>
      </c>
    </row>
    <row r="337" spans="2:7" ht="11.25" outlineLevel="4" x14ac:dyDescent="0.2">
      <c r="B337" s="14" t="s">
        <v>639</v>
      </c>
      <c r="C337" s="14" t="s">
        <v>640</v>
      </c>
      <c r="D337" s="14">
        <v>1</v>
      </c>
      <c r="E337" s="15">
        <v>614.62</v>
      </c>
      <c r="F337" s="16" t="s">
        <v>8</v>
      </c>
      <c r="G337" s="38" t="str">
        <f>HYPERLINK("http://enext.ua/p003020")</f>
        <v>http://enext.ua/p003020</v>
      </c>
    </row>
    <row r="338" spans="2:7" ht="11.25" outlineLevel="4" x14ac:dyDescent="0.2">
      <c r="B338" s="14" t="s">
        <v>641</v>
      </c>
      <c r="C338" s="14" t="s">
        <v>642</v>
      </c>
      <c r="D338" s="14">
        <v>1</v>
      </c>
      <c r="E338" s="15">
        <v>676.72</v>
      </c>
      <c r="F338" s="16" t="s">
        <v>8</v>
      </c>
      <c r="G338" s="38" t="str">
        <f>HYPERLINK("http://enext.ua/p003021")</f>
        <v>http://enext.ua/p003021</v>
      </c>
    </row>
    <row r="339" spans="2:7" ht="11.25" outlineLevel="4" x14ac:dyDescent="0.2">
      <c r="B339" s="14" t="s">
        <v>643</v>
      </c>
      <c r="C339" s="14" t="s">
        <v>644</v>
      </c>
      <c r="D339" s="14">
        <v>1</v>
      </c>
      <c r="E339" s="15">
        <v>676.72</v>
      </c>
      <c r="F339" s="16" t="s">
        <v>8</v>
      </c>
      <c r="G339" s="38" t="str">
        <f>HYPERLINK("http://enext.ua/p003032")</f>
        <v>http://enext.ua/p003032</v>
      </c>
    </row>
    <row r="340" spans="2:7" ht="11.25" outlineLevel="4" x14ac:dyDescent="0.2">
      <c r="B340" s="14" t="s">
        <v>645</v>
      </c>
      <c r="C340" s="14" t="s">
        <v>646</v>
      </c>
      <c r="D340" s="14">
        <v>1</v>
      </c>
      <c r="E340" s="15">
        <v>410.61</v>
      </c>
      <c r="F340" s="16" t="s">
        <v>8</v>
      </c>
      <c r="G340" s="38" t="str">
        <f>HYPERLINK("http://enext.ua/p003008")</f>
        <v>http://enext.ua/p003008</v>
      </c>
    </row>
    <row r="341" spans="2:7" ht="11.25" outlineLevel="4" x14ac:dyDescent="0.2">
      <c r="B341" s="14" t="s">
        <v>647</v>
      </c>
      <c r="C341" s="14" t="s">
        <v>648</v>
      </c>
      <c r="D341" s="14">
        <v>1</v>
      </c>
      <c r="E341" s="15">
        <v>461.55</v>
      </c>
      <c r="F341" s="16" t="s">
        <v>8</v>
      </c>
      <c r="G341" s="38" t="str">
        <f>HYPERLINK("http://enext.ua/p003009")</f>
        <v>http://enext.ua/p003009</v>
      </c>
    </row>
    <row r="342" spans="2:7" ht="11.25" outlineLevel="4" x14ac:dyDescent="0.2">
      <c r="B342" s="14" t="s">
        <v>649</v>
      </c>
      <c r="C342" s="14" t="s">
        <v>650</v>
      </c>
      <c r="D342" s="14">
        <v>1</v>
      </c>
      <c r="E342" s="15">
        <v>478.69</v>
      </c>
      <c r="F342" s="16" t="s">
        <v>8</v>
      </c>
      <c r="G342" s="38" t="str">
        <f>HYPERLINK("http://enext.ua/p003010")</f>
        <v>http://enext.ua/p003010</v>
      </c>
    </row>
    <row r="343" spans="2:7" ht="11.25" outlineLevel="4" x14ac:dyDescent="0.2">
      <c r="B343" s="14" t="s">
        <v>651</v>
      </c>
      <c r="C343" s="14" t="s">
        <v>652</v>
      </c>
      <c r="D343" s="14">
        <v>1</v>
      </c>
      <c r="E343" s="15">
        <v>497.03</v>
      </c>
      <c r="F343" s="16" t="s">
        <v>8</v>
      </c>
      <c r="G343" s="38" t="str">
        <f>HYPERLINK("http://enext.ua/p003011")</f>
        <v>http://enext.ua/p003011</v>
      </c>
    </row>
    <row r="344" spans="2:7" ht="11.25" outlineLevel="4" x14ac:dyDescent="0.2">
      <c r="B344" s="14" t="s">
        <v>653</v>
      </c>
      <c r="C344" s="14" t="s">
        <v>654</v>
      </c>
      <c r="D344" s="14">
        <v>1</v>
      </c>
      <c r="E344" s="15">
        <v>488.05</v>
      </c>
      <c r="F344" s="16" t="s">
        <v>8</v>
      </c>
      <c r="G344" s="38" t="str">
        <f>HYPERLINK("http://enext.ua/p003012")</f>
        <v>http://enext.ua/p003012</v>
      </c>
    </row>
    <row r="345" spans="2:7" ht="11.25" outlineLevel="4" x14ac:dyDescent="0.2">
      <c r="B345" s="14" t="s">
        <v>655</v>
      </c>
      <c r="C345" s="14" t="s">
        <v>656</v>
      </c>
      <c r="D345" s="14">
        <v>1</v>
      </c>
      <c r="E345" s="15">
        <v>559.52</v>
      </c>
      <c r="F345" s="16" t="s">
        <v>8</v>
      </c>
      <c r="G345" s="38" t="str">
        <f>HYPERLINK("http://enext.ua/p003022")</f>
        <v>http://enext.ua/p003022</v>
      </c>
    </row>
    <row r="346" spans="2:7" ht="11.25" outlineLevel="4" x14ac:dyDescent="0.2">
      <c r="B346" s="14" t="s">
        <v>657</v>
      </c>
      <c r="C346" s="14" t="s">
        <v>658</v>
      </c>
      <c r="D346" s="14">
        <v>1</v>
      </c>
      <c r="E346" s="15">
        <v>559.52</v>
      </c>
      <c r="F346" s="16" t="s">
        <v>8</v>
      </c>
      <c r="G346" s="38" t="str">
        <f>HYPERLINK("http://enext.ua/p003023")</f>
        <v>http://enext.ua/p003023</v>
      </c>
    </row>
    <row r="347" spans="2:7" ht="11.25" outlineLevel="4" x14ac:dyDescent="0.2">
      <c r="B347" s="14" t="s">
        <v>659</v>
      </c>
      <c r="C347" s="14" t="s">
        <v>660</v>
      </c>
      <c r="D347" s="14">
        <v>1</v>
      </c>
      <c r="E347" s="15">
        <v>559.52</v>
      </c>
      <c r="F347" s="16" t="s">
        <v>8</v>
      </c>
      <c r="G347" s="38" t="str">
        <f>HYPERLINK("http://enext.ua/p003024")</f>
        <v>http://enext.ua/p003024</v>
      </c>
    </row>
    <row r="348" spans="2:7" ht="11.25" outlineLevel="4" x14ac:dyDescent="0.2">
      <c r="B348" s="14" t="s">
        <v>661</v>
      </c>
      <c r="C348" s="14" t="s">
        <v>662</v>
      </c>
      <c r="D348" s="14">
        <v>1</v>
      </c>
      <c r="E348" s="15">
        <v>664.18</v>
      </c>
      <c r="F348" s="16" t="s">
        <v>8</v>
      </c>
      <c r="G348" s="38" t="str">
        <f>HYPERLINK("http://enext.ua/p003025")</f>
        <v>http://enext.ua/p003025</v>
      </c>
    </row>
    <row r="349" spans="2:7" ht="11.25" outlineLevel="4" x14ac:dyDescent="0.2">
      <c r="B349" s="14" t="s">
        <v>663</v>
      </c>
      <c r="C349" s="14" t="s">
        <v>664</v>
      </c>
      <c r="D349" s="14">
        <v>1</v>
      </c>
      <c r="E349" s="15">
        <v>739.87</v>
      </c>
      <c r="F349" s="16" t="s">
        <v>8</v>
      </c>
      <c r="G349" s="38" t="str">
        <f>HYPERLINK("http://enext.ua/p003026")</f>
        <v>http://enext.ua/p003026</v>
      </c>
    </row>
    <row r="350" spans="2:7" ht="11.25" outlineLevel="4" x14ac:dyDescent="0.2">
      <c r="B350" s="14" t="s">
        <v>665</v>
      </c>
      <c r="C350" s="14" t="s">
        <v>666</v>
      </c>
      <c r="D350" s="14">
        <v>1</v>
      </c>
      <c r="E350" s="15">
        <v>456.35</v>
      </c>
      <c r="F350" s="16" t="s">
        <v>8</v>
      </c>
      <c r="G350" s="38" t="str">
        <f>HYPERLINK("http://enext.ua/p003013")</f>
        <v>http://enext.ua/p003013</v>
      </c>
    </row>
    <row r="351" spans="2:7" ht="11.25" outlineLevel="4" x14ac:dyDescent="0.2">
      <c r="B351" s="14" t="s">
        <v>667</v>
      </c>
      <c r="C351" s="14" t="s">
        <v>668</v>
      </c>
      <c r="D351" s="14">
        <v>1</v>
      </c>
      <c r="E351" s="15">
        <v>478.69</v>
      </c>
      <c r="F351" s="16" t="s">
        <v>8</v>
      </c>
      <c r="G351" s="38" t="str">
        <f>HYPERLINK("http://enext.ua/p003014")</f>
        <v>http://enext.ua/p003014</v>
      </c>
    </row>
    <row r="352" spans="2:7" ht="11.25" outlineLevel="4" x14ac:dyDescent="0.2">
      <c r="B352" s="14" t="s">
        <v>669</v>
      </c>
      <c r="C352" s="14" t="s">
        <v>670</v>
      </c>
      <c r="D352" s="14">
        <v>1</v>
      </c>
      <c r="E352" s="15">
        <v>478.69</v>
      </c>
      <c r="F352" s="16" t="s">
        <v>8</v>
      </c>
      <c r="G352" s="38" t="str">
        <f>HYPERLINK("http://enext.ua/p003015")</f>
        <v>http://enext.ua/p003015</v>
      </c>
    </row>
    <row r="353" spans="2:7" ht="11.25" outlineLevel="4" x14ac:dyDescent="0.2">
      <c r="B353" s="14" t="s">
        <v>671</v>
      </c>
      <c r="C353" s="14" t="s">
        <v>672</v>
      </c>
      <c r="D353" s="14">
        <v>1</v>
      </c>
      <c r="E353" s="15">
        <v>497.03</v>
      </c>
      <c r="F353" s="16" t="s">
        <v>8</v>
      </c>
      <c r="G353" s="38" t="str">
        <f>HYPERLINK("http://enext.ua/p003016")</f>
        <v>http://enext.ua/p003016</v>
      </c>
    </row>
    <row r="354" spans="2:7" ht="11.25" outlineLevel="4" x14ac:dyDescent="0.2">
      <c r="B354" s="14" t="s">
        <v>673</v>
      </c>
      <c r="C354" s="14" t="s">
        <v>674</v>
      </c>
      <c r="D354" s="14">
        <v>1</v>
      </c>
      <c r="E354" s="15">
        <v>612.27</v>
      </c>
      <c r="F354" s="16" t="s">
        <v>8</v>
      </c>
      <c r="G354" s="38" t="str">
        <f>HYPERLINK("http://enext.ua/p003017")</f>
        <v>http://enext.ua/p003017</v>
      </c>
    </row>
    <row r="355" spans="2:7" ht="11.25" outlineLevel="4" x14ac:dyDescent="0.2">
      <c r="B355" s="14" t="s">
        <v>675</v>
      </c>
      <c r="C355" s="14" t="s">
        <v>676</v>
      </c>
      <c r="D355" s="14">
        <v>1</v>
      </c>
      <c r="E355" s="15">
        <v>647.88</v>
      </c>
      <c r="F355" s="16" t="s">
        <v>8</v>
      </c>
      <c r="G355" s="38" t="str">
        <f>HYPERLINK("http://enext.ua/p003027")</f>
        <v>http://enext.ua/p003027</v>
      </c>
    </row>
    <row r="356" spans="2:7" ht="11.25" outlineLevel="4" x14ac:dyDescent="0.2">
      <c r="B356" s="14" t="s">
        <v>677</v>
      </c>
      <c r="C356" s="14" t="s">
        <v>678</v>
      </c>
      <c r="D356" s="14">
        <v>1</v>
      </c>
      <c r="E356" s="15">
        <v>647.88</v>
      </c>
      <c r="F356" s="16" t="s">
        <v>8</v>
      </c>
      <c r="G356" s="38" t="str">
        <f>HYPERLINK("http://enext.ua/p003028")</f>
        <v>http://enext.ua/p003028</v>
      </c>
    </row>
    <row r="357" spans="2:7" ht="11.25" outlineLevel="4" x14ac:dyDescent="0.2">
      <c r="B357" s="14" t="s">
        <v>679</v>
      </c>
      <c r="C357" s="14" t="s">
        <v>680</v>
      </c>
      <c r="D357" s="14">
        <v>1</v>
      </c>
      <c r="E357" s="15">
        <v>647.88</v>
      </c>
      <c r="F357" s="16" t="s">
        <v>8</v>
      </c>
      <c r="G357" s="38" t="str">
        <f>HYPERLINK("http://enext.ua/p003029")</f>
        <v>http://enext.ua/p003029</v>
      </c>
    </row>
    <row r="358" spans="2:7" ht="11.25" outlineLevel="4" x14ac:dyDescent="0.2">
      <c r="B358" s="14" t="s">
        <v>681</v>
      </c>
      <c r="C358" s="14" t="s">
        <v>682</v>
      </c>
      <c r="D358" s="14">
        <v>1</v>
      </c>
      <c r="E358" s="15">
        <v>664.18</v>
      </c>
      <c r="F358" s="16" t="s">
        <v>8</v>
      </c>
      <c r="G358" s="38" t="str">
        <f>HYPERLINK("http://enext.ua/p003030")</f>
        <v>http://enext.ua/p003030</v>
      </c>
    </row>
    <row r="359" spans="2:7" ht="11.25" outlineLevel="4" x14ac:dyDescent="0.2">
      <c r="B359" s="14" t="s">
        <v>683</v>
      </c>
      <c r="C359" s="14" t="s">
        <v>684</v>
      </c>
      <c r="D359" s="14">
        <v>1</v>
      </c>
      <c r="E359" s="15">
        <v>739.87</v>
      </c>
      <c r="F359" s="16" t="s">
        <v>8</v>
      </c>
      <c r="G359" s="38" t="str">
        <f>HYPERLINK("http://enext.ua/p003031")</f>
        <v>http://enext.ua/p003031</v>
      </c>
    </row>
    <row r="360" spans="2:7" ht="12" outlineLevel="3" x14ac:dyDescent="0.2">
      <c r="B360" s="10"/>
      <c r="C360" s="36" t="s">
        <v>685</v>
      </c>
      <c r="D360" s="10"/>
      <c r="E360" s="11"/>
      <c r="F360" s="11"/>
      <c r="G360" s="10"/>
    </row>
    <row r="361" spans="2:7" ht="11.25" outlineLevel="4" x14ac:dyDescent="0.2">
      <c r="B361" s="14" t="s">
        <v>686</v>
      </c>
      <c r="C361" s="14" t="s">
        <v>687</v>
      </c>
      <c r="D361" s="14">
        <v>1</v>
      </c>
      <c r="E361" s="15">
        <v>654.61</v>
      </c>
      <c r="F361" s="16" t="s">
        <v>8</v>
      </c>
      <c r="G361" s="38" t="str">
        <f>HYPERLINK("http://enext.ua/p080001")</f>
        <v>http://enext.ua/p080001</v>
      </c>
    </row>
    <row r="362" spans="2:7" ht="11.25" outlineLevel="4" x14ac:dyDescent="0.2">
      <c r="B362" s="14" t="s">
        <v>688</v>
      </c>
      <c r="C362" s="14" t="s">
        <v>689</v>
      </c>
      <c r="D362" s="14">
        <v>1</v>
      </c>
      <c r="E362" s="15">
        <v>654.61</v>
      </c>
      <c r="F362" s="16" t="s">
        <v>8</v>
      </c>
      <c r="G362" s="38" t="str">
        <f>HYPERLINK("http://enext.ua/p080002")</f>
        <v>http://enext.ua/p080002</v>
      </c>
    </row>
    <row r="363" spans="2:7" ht="11.25" outlineLevel="4" x14ac:dyDescent="0.2">
      <c r="B363" s="14" t="s">
        <v>690</v>
      </c>
      <c r="C363" s="14" t="s">
        <v>691</v>
      </c>
      <c r="D363" s="14">
        <v>1</v>
      </c>
      <c r="E363" s="15">
        <v>654.61</v>
      </c>
      <c r="F363" s="16" t="s">
        <v>8</v>
      </c>
      <c r="G363" s="38" t="str">
        <f>HYPERLINK("http://enext.ua/p080003")</f>
        <v>http://enext.ua/p080003</v>
      </c>
    </row>
    <row r="364" spans="2:7" ht="11.25" outlineLevel="4" x14ac:dyDescent="0.2">
      <c r="B364" s="14" t="s">
        <v>692</v>
      </c>
      <c r="C364" s="14" t="s">
        <v>693</v>
      </c>
      <c r="D364" s="14">
        <v>1</v>
      </c>
      <c r="E364" s="15">
        <v>809.09</v>
      </c>
      <c r="F364" s="16" t="s">
        <v>8</v>
      </c>
      <c r="G364" s="38" t="str">
        <f>HYPERLINK("http://enext.ua/p080004")</f>
        <v>http://enext.ua/p080004</v>
      </c>
    </row>
    <row r="365" spans="2:7" ht="12" outlineLevel="3" x14ac:dyDescent="0.2">
      <c r="B365" s="10"/>
      <c r="C365" s="36" t="s">
        <v>694</v>
      </c>
      <c r="D365" s="10"/>
      <c r="E365" s="11"/>
      <c r="F365" s="11"/>
      <c r="G365" s="10"/>
    </row>
    <row r="366" spans="2:7" ht="11.25" outlineLevel="4" x14ac:dyDescent="0.2">
      <c r="B366" s="14" t="s">
        <v>695</v>
      </c>
      <c r="C366" s="14" t="s">
        <v>696</v>
      </c>
      <c r="D366" s="14">
        <v>1</v>
      </c>
      <c r="E366" s="15">
        <v>603.08000000000004</v>
      </c>
      <c r="F366" s="16" t="s">
        <v>8</v>
      </c>
      <c r="G366" s="38" t="str">
        <f>HYPERLINK("http://enext.ua/i0220006")</f>
        <v>http://enext.ua/i0220006</v>
      </c>
    </row>
    <row r="367" spans="2:7" ht="11.25" outlineLevel="4" x14ac:dyDescent="0.2">
      <c r="B367" s="14" t="s">
        <v>697</v>
      </c>
      <c r="C367" s="14" t="s">
        <v>698</v>
      </c>
      <c r="D367" s="14">
        <v>6</v>
      </c>
      <c r="E367" s="15">
        <v>446.05</v>
      </c>
      <c r="F367" s="16" t="s">
        <v>8</v>
      </c>
      <c r="G367" s="38" t="str">
        <f>HYPERLINK("http://enext.ua/i0220010")</f>
        <v>http://enext.ua/i0220010</v>
      </c>
    </row>
    <row r="368" spans="2:7" ht="11.25" outlineLevel="4" x14ac:dyDescent="0.2">
      <c r="B368" s="14" t="s">
        <v>699</v>
      </c>
      <c r="C368" s="14" t="s">
        <v>700</v>
      </c>
      <c r="D368" s="14">
        <v>6</v>
      </c>
      <c r="E368" s="15">
        <v>449.08</v>
      </c>
      <c r="F368" s="16" t="s">
        <v>8</v>
      </c>
      <c r="G368" s="38" t="str">
        <f>HYPERLINK("http://enext.ua/i0220001")</f>
        <v>http://enext.ua/i0220001</v>
      </c>
    </row>
    <row r="369" spans="2:7" ht="11.25" outlineLevel="4" x14ac:dyDescent="0.2">
      <c r="B369" s="14" t="s">
        <v>701</v>
      </c>
      <c r="C369" s="14" t="s">
        <v>702</v>
      </c>
      <c r="D369" s="14">
        <v>6</v>
      </c>
      <c r="E369" s="15">
        <v>457.05</v>
      </c>
      <c r="F369" s="16" t="s">
        <v>8</v>
      </c>
      <c r="G369" s="38" t="str">
        <f>HYPERLINK("http://enext.ua/i0220002")</f>
        <v>http://enext.ua/i0220002</v>
      </c>
    </row>
    <row r="370" spans="2:7" ht="11.25" outlineLevel="4" x14ac:dyDescent="0.2">
      <c r="B370" s="14" t="s">
        <v>703</v>
      </c>
      <c r="C370" s="14" t="s">
        <v>704</v>
      </c>
      <c r="D370" s="14">
        <v>1</v>
      </c>
      <c r="E370" s="15">
        <v>457.05</v>
      </c>
      <c r="F370" s="16" t="s">
        <v>8</v>
      </c>
      <c r="G370" s="38" t="str">
        <f>HYPERLINK("http://enext.ua/i0220003")</f>
        <v>http://enext.ua/i0220003</v>
      </c>
    </row>
    <row r="371" spans="2:7" ht="11.25" outlineLevel="4" x14ac:dyDescent="0.2">
      <c r="B371" s="14" t="s">
        <v>705</v>
      </c>
      <c r="C371" s="14" t="s">
        <v>706</v>
      </c>
      <c r="D371" s="14">
        <v>1</v>
      </c>
      <c r="E371" s="15">
        <v>594.54999999999995</v>
      </c>
      <c r="F371" s="16" t="s">
        <v>8</v>
      </c>
      <c r="G371" s="38" t="str">
        <f>HYPERLINK("http://enext.ua/i0220004")</f>
        <v>http://enext.ua/i0220004</v>
      </c>
    </row>
    <row r="372" spans="2:7" ht="11.25" outlineLevel="4" x14ac:dyDescent="0.2">
      <c r="B372" s="14" t="s">
        <v>707</v>
      </c>
      <c r="C372" s="14" t="s">
        <v>708</v>
      </c>
      <c r="D372" s="14">
        <v>1</v>
      </c>
      <c r="E372" s="15">
        <v>658.63</v>
      </c>
      <c r="F372" s="16" t="s">
        <v>8</v>
      </c>
      <c r="G372" s="38" t="str">
        <f>HYPERLINK("http://enext.ua/i0220007")</f>
        <v>http://enext.ua/i0220007</v>
      </c>
    </row>
    <row r="373" spans="2:7" ht="11.25" outlineLevel="4" x14ac:dyDescent="0.2">
      <c r="B373" s="14" t="s">
        <v>709</v>
      </c>
      <c r="C373" s="14" t="s">
        <v>710</v>
      </c>
      <c r="D373" s="14">
        <v>1</v>
      </c>
      <c r="E373" s="15">
        <v>596.48</v>
      </c>
      <c r="F373" s="16" t="s">
        <v>8</v>
      </c>
      <c r="G373" s="38" t="str">
        <f>HYPERLINK("http://enext.ua/i0220005")</f>
        <v>http://enext.ua/i0220005</v>
      </c>
    </row>
    <row r="374" spans="2:7" ht="11.25" outlineLevel="4" x14ac:dyDescent="0.2">
      <c r="B374" s="14" t="s">
        <v>711</v>
      </c>
      <c r="C374" s="14" t="s">
        <v>712</v>
      </c>
      <c r="D374" s="14">
        <v>1</v>
      </c>
      <c r="E374" s="15">
        <v>606.38</v>
      </c>
      <c r="F374" s="16" t="s">
        <v>8</v>
      </c>
      <c r="G374" s="38" t="str">
        <f>HYPERLINK("http://enext.ua/i0220009")</f>
        <v>http://enext.ua/i0220009</v>
      </c>
    </row>
    <row r="375" spans="2:7" ht="11.25" outlineLevel="4" x14ac:dyDescent="0.2">
      <c r="B375" s="14" t="s">
        <v>713</v>
      </c>
      <c r="C375" s="14" t="s">
        <v>714</v>
      </c>
      <c r="D375" s="14">
        <v>1</v>
      </c>
      <c r="E375" s="15">
        <v>622.04999999999995</v>
      </c>
      <c r="F375" s="16" t="s">
        <v>8</v>
      </c>
      <c r="G375" s="38" t="str">
        <f>HYPERLINK("http://enext.ua/i0220008")</f>
        <v>http://enext.ua/i0220008</v>
      </c>
    </row>
    <row r="376" spans="2:7" ht="11.25" outlineLevel="4" x14ac:dyDescent="0.2">
      <c r="B376" s="14" t="s">
        <v>715</v>
      </c>
      <c r="C376" s="14" t="s">
        <v>716</v>
      </c>
      <c r="D376" s="14">
        <v>1</v>
      </c>
      <c r="E376" s="15">
        <v>607.48</v>
      </c>
      <c r="F376" s="16" t="s">
        <v>8</v>
      </c>
      <c r="G376" s="38" t="str">
        <f>HYPERLINK("http://enext.ua/i0220011")</f>
        <v>http://enext.ua/i0220011</v>
      </c>
    </row>
    <row r="377" spans="2:7" ht="11.25" outlineLevel="4" x14ac:dyDescent="0.2">
      <c r="B377" s="14" t="s">
        <v>717</v>
      </c>
      <c r="C377" s="14" t="s">
        <v>718</v>
      </c>
      <c r="D377" s="14">
        <v>1</v>
      </c>
      <c r="E377" s="15">
        <v>624.53</v>
      </c>
      <c r="F377" s="16" t="s">
        <v>8</v>
      </c>
      <c r="G377" s="38" t="str">
        <f>HYPERLINK("http://enext.ua/i0220012")</f>
        <v>http://enext.ua/i0220012</v>
      </c>
    </row>
    <row r="378" spans="2:7" ht="24" outlineLevel="2" x14ac:dyDescent="0.2">
      <c r="B378" s="8"/>
      <c r="C378" s="35" t="s">
        <v>719</v>
      </c>
      <c r="D378" s="8"/>
      <c r="E378" s="9"/>
      <c r="F378" s="9"/>
      <c r="G378" s="8"/>
    </row>
    <row r="379" spans="2:7" ht="24" outlineLevel="3" x14ac:dyDescent="0.2">
      <c r="B379" s="10"/>
      <c r="C379" s="36" t="s">
        <v>720</v>
      </c>
      <c r="D379" s="10"/>
      <c r="E379" s="11"/>
      <c r="F379" s="11"/>
      <c r="G379" s="10"/>
    </row>
    <row r="380" spans="2:7" ht="22.5" outlineLevel="4" x14ac:dyDescent="0.2">
      <c r="B380" s="14" t="s">
        <v>721</v>
      </c>
      <c r="C380" s="14" t="s">
        <v>722</v>
      </c>
      <c r="D380" s="14">
        <v>6</v>
      </c>
      <c r="E380" s="15">
        <v>561.15</v>
      </c>
      <c r="F380" s="16" t="s">
        <v>8</v>
      </c>
      <c r="G380" s="38" t="str">
        <f>HYPERLINK("http://enext.ua/p0620005")</f>
        <v>http://enext.ua/p0620005</v>
      </c>
    </row>
    <row r="381" spans="2:7" ht="22.5" outlineLevel="4" x14ac:dyDescent="0.2">
      <c r="B381" s="14" t="s">
        <v>723</v>
      </c>
      <c r="C381" s="14" t="s">
        <v>724</v>
      </c>
      <c r="D381" s="14">
        <v>6</v>
      </c>
      <c r="E381" s="15">
        <v>561.15</v>
      </c>
      <c r="F381" s="16" t="s">
        <v>8</v>
      </c>
      <c r="G381" s="38" t="str">
        <f>HYPERLINK("http://enext.ua/p0620006")</f>
        <v>http://enext.ua/p0620006</v>
      </c>
    </row>
    <row r="382" spans="2:7" ht="22.5" outlineLevel="4" x14ac:dyDescent="0.2">
      <c r="B382" s="14" t="s">
        <v>725</v>
      </c>
      <c r="C382" s="14" t="s">
        <v>726</v>
      </c>
      <c r="D382" s="14">
        <v>6</v>
      </c>
      <c r="E382" s="15">
        <v>561.15</v>
      </c>
      <c r="F382" s="16" t="s">
        <v>8</v>
      </c>
      <c r="G382" s="38" t="str">
        <f>HYPERLINK("http://enext.ua/p0620007")</f>
        <v>http://enext.ua/p0620007</v>
      </c>
    </row>
    <row r="383" spans="2:7" ht="22.5" outlineLevel="4" x14ac:dyDescent="0.2">
      <c r="B383" s="14" t="s">
        <v>727</v>
      </c>
      <c r="C383" s="14" t="s">
        <v>728</v>
      </c>
      <c r="D383" s="14">
        <v>6</v>
      </c>
      <c r="E383" s="15">
        <v>561.15</v>
      </c>
      <c r="F383" s="16" t="s">
        <v>8</v>
      </c>
      <c r="G383" s="38" t="str">
        <f>HYPERLINK("http://enext.ua/p0620008")</f>
        <v>http://enext.ua/p0620008</v>
      </c>
    </row>
    <row r="384" spans="2:7" ht="24" outlineLevel="3" x14ac:dyDescent="0.2">
      <c r="B384" s="10"/>
      <c r="C384" s="36" t="s">
        <v>729</v>
      </c>
      <c r="D384" s="10"/>
      <c r="E384" s="11"/>
      <c r="F384" s="11"/>
      <c r="G384" s="10"/>
    </row>
    <row r="385" spans="2:7" ht="22.5" outlineLevel="4" x14ac:dyDescent="0.2">
      <c r="B385" s="14" t="s">
        <v>730</v>
      </c>
      <c r="C385" s="14" t="s">
        <v>731</v>
      </c>
      <c r="D385" s="14">
        <v>6</v>
      </c>
      <c r="E385" s="15">
        <v>680.81</v>
      </c>
      <c r="F385" s="16" t="s">
        <v>8</v>
      </c>
      <c r="G385" s="38" t="str">
        <f>HYPERLINK("http://enext.ua/p0620001")</f>
        <v>http://enext.ua/p0620001</v>
      </c>
    </row>
    <row r="386" spans="2:7" ht="22.5" outlineLevel="4" x14ac:dyDescent="0.2">
      <c r="B386" s="14" t="s">
        <v>732</v>
      </c>
      <c r="C386" s="14" t="s">
        <v>733</v>
      </c>
      <c r="D386" s="14">
        <v>6</v>
      </c>
      <c r="E386" s="15">
        <v>683.26</v>
      </c>
      <c r="F386" s="16" t="s">
        <v>8</v>
      </c>
      <c r="G386" s="38" t="str">
        <f>HYPERLINK("http://enext.ua/p0620002")</f>
        <v>http://enext.ua/p0620002</v>
      </c>
    </row>
    <row r="387" spans="2:7" ht="22.5" outlineLevel="4" x14ac:dyDescent="0.2">
      <c r="B387" s="14" t="s">
        <v>734</v>
      </c>
      <c r="C387" s="14" t="s">
        <v>735</v>
      </c>
      <c r="D387" s="14">
        <v>6</v>
      </c>
      <c r="E387" s="15">
        <v>685.91</v>
      </c>
      <c r="F387" s="16" t="s">
        <v>8</v>
      </c>
      <c r="G387" s="38" t="str">
        <f>HYPERLINK("http://enext.ua/p0620003")</f>
        <v>http://enext.ua/p0620003</v>
      </c>
    </row>
    <row r="388" spans="2:7" ht="22.5" outlineLevel="4" x14ac:dyDescent="0.2">
      <c r="B388" s="14" t="s">
        <v>736</v>
      </c>
      <c r="C388" s="14" t="s">
        <v>737</v>
      </c>
      <c r="D388" s="14">
        <v>6</v>
      </c>
      <c r="E388" s="15">
        <v>690.62</v>
      </c>
      <c r="F388" s="16" t="s">
        <v>8</v>
      </c>
      <c r="G388" s="38" t="str">
        <f>HYPERLINK("http://enext.ua/p0620004")</f>
        <v>http://enext.ua/p0620004</v>
      </c>
    </row>
    <row r="389" spans="2:7" ht="12" outlineLevel="3" x14ac:dyDescent="0.2">
      <c r="B389" s="10"/>
      <c r="C389" s="36" t="s">
        <v>738</v>
      </c>
      <c r="D389" s="10"/>
      <c r="E389" s="11"/>
      <c r="F389" s="11"/>
      <c r="G389" s="10"/>
    </row>
    <row r="390" spans="2:7" ht="22.5" outlineLevel="4" x14ac:dyDescent="0.2">
      <c r="B390" s="14" t="s">
        <v>739</v>
      </c>
      <c r="C390" s="14" t="s">
        <v>740</v>
      </c>
      <c r="D390" s="14">
        <v>6</v>
      </c>
      <c r="E390" s="15">
        <v>315.69</v>
      </c>
      <c r="F390" s="16" t="s">
        <v>8</v>
      </c>
      <c r="G390" s="38" t="str">
        <f>HYPERLINK("http://enext.ua/p0720001")</f>
        <v>http://enext.ua/p0720001</v>
      </c>
    </row>
    <row r="391" spans="2:7" ht="22.5" outlineLevel="4" x14ac:dyDescent="0.2">
      <c r="B391" s="14" t="s">
        <v>741</v>
      </c>
      <c r="C391" s="14" t="s">
        <v>742</v>
      </c>
      <c r="D391" s="14">
        <v>6</v>
      </c>
      <c r="E391" s="15">
        <v>315.69</v>
      </c>
      <c r="F391" s="16" t="s">
        <v>8</v>
      </c>
      <c r="G391" s="38" t="str">
        <f>HYPERLINK("http://enext.ua/p0720002")</f>
        <v>http://enext.ua/p0720002</v>
      </c>
    </row>
    <row r="392" spans="2:7" ht="22.5" outlineLevel="4" x14ac:dyDescent="0.2">
      <c r="B392" s="14" t="s">
        <v>743</v>
      </c>
      <c r="C392" s="14" t="s">
        <v>744</v>
      </c>
      <c r="D392" s="14">
        <v>6</v>
      </c>
      <c r="E392" s="15">
        <v>315.69</v>
      </c>
      <c r="F392" s="16" t="s">
        <v>8</v>
      </c>
      <c r="G392" s="38" t="str">
        <f>HYPERLINK("http://enext.ua/p0720003")</f>
        <v>http://enext.ua/p0720003</v>
      </c>
    </row>
    <row r="393" spans="2:7" ht="22.5" outlineLevel="4" x14ac:dyDescent="0.2">
      <c r="B393" s="14" t="s">
        <v>745</v>
      </c>
      <c r="C393" s="14" t="s">
        <v>746</v>
      </c>
      <c r="D393" s="14">
        <v>6</v>
      </c>
      <c r="E393" s="15">
        <v>315.69</v>
      </c>
      <c r="F393" s="16" t="s">
        <v>8</v>
      </c>
      <c r="G393" s="38" t="str">
        <f>HYPERLINK("http://enext.ua/p0720004")</f>
        <v>http://enext.ua/p0720004</v>
      </c>
    </row>
    <row r="394" spans="2:7" ht="22.5" outlineLevel="4" x14ac:dyDescent="0.2">
      <c r="B394" s="14" t="s">
        <v>747</v>
      </c>
      <c r="C394" s="14" t="s">
        <v>748</v>
      </c>
      <c r="D394" s="14">
        <v>1</v>
      </c>
      <c r="E394" s="15">
        <v>315.69</v>
      </c>
      <c r="F394" s="16" t="s">
        <v>8</v>
      </c>
      <c r="G394" s="38" t="str">
        <f>HYPERLINK("http://enext.ua/p0720005")</f>
        <v>http://enext.ua/p0720005</v>
      </c>
    </row>
    <row r="395" spans="2:7" ht="22.5" outlineLevel="4" x14ac:dyDescent="0.2">
      <c r="B395" s="14" t="s">
        <v>749</v>
      </c>
      <c r="C395" s="14" t="s">
        <v>750</v>
      </c>
      <c r="D395" s="14">
        <v>6</v>
      </c>
      <c r="E395" s="15">
        <v>315.69</v>
      </c>
      <c r="F395" s="16" t="s">
        <v>8</v>
      </c>
      <c r="G395" s="38" t="str">
        <f>HYPERLINK("http://enext.ua/p0720006")</f>
        <v>http://enext.ua/p0720006</v>
      </c>
    </row>
    <row r="396" spans="2:7" ht="22.5" outlineLevel="4" x14ac:dyDescent="0.2">
      <c r="B396" s="14" t="s">
        <v>751</v>
      </c>
      <c r="C396" s="14" t="s">
        <v>752</v>
      </c>
      <c r="D396" s="14">
        <v>6</v>
      </c>
      <c r="E396" s="15">
        <v>315.69</v>
      </c>
      <c r="F396" s="16" t="s">
        <v>8</v>
      </c>
      <c r="G396" s="38" t="str">
        <f>HYPERLINK("http://enext.ua/p0720007")</f>
        <v>http://enext.ua/p0720007</v>
      </c>
    </row>
    <row r="397" spans="2:7" ht="22.5" outlineLevel="4" x14ac:dyDescent="0.2">
      <c r="B397" s="14" t="s">
        <v>753</v>
      </c>
      <c r="C397" s="14" t="s">
        <v>754</v>
      </c>
      <c r="D397" s="14">
        <v>6</v>
      </c>
      <c r="E397" s="15">
        <v>315.69</v>
      </c>
      <c r="F397" s="16" t="s">
        <v>8</v>
      </c>
      <c r="G397" s="38" t="str">
        <f>HYPERLINK("http://enext.ua/p0720008")</f>
        <v>http://enext.ua/p0720008</v>
      </c>
    </row>
    <row r="398" spans="2:7" ht="22.5" outlineLevel="4" x14ac:dyDescent="0.2">
      <c r="B398" s="14" t="s">
        <v>755</v>
      </c>
      <c r="C398" s="14" t="s">
        <v>756</v>
      </c>
      <c r="D398" s="14">
        <v>6</v>
      </c>
      <c r="E398" s="15">
        <v>315.69</v>
      </c>
      <c r="F398" s="16" t="s">
        <v>8</v>
      </c>
      <c r="G398" s="38" t="str">
        <f>HYPERLINK("http://enext.ua/p0720009")</f>
        <v>http://enext.ua/p0720009</v>
      </c>
    </row>
    <row r="399" spans="2:7" ht="22.5" outlineLevel="4" x14ac:dyDescent="0.2">
      <c r="B399" s="14" t="s">
        <v>757</v>
      </c>
      <c r="C399" s="14" t="s">
        <v>758</v>
      </c>
      <c r="D399" s="14">
        <v>6</v>
      </c>
      <c r="E399" s="15">
        <v>315.69</v>
      </c>
      <c r="F399" s="16" t="s">
        <v>8</v>
      </c>
      <c r="G399" s="38" t="str">
        <f>HYPERLINK("http://enext.ua/p0720010")</f>
        <v>http://enext.ua/p0720010</v>
      </c>
    </row>
    <row r="400" spans="2:7" ht="22.5" outlineLevel="4" x14ac:dyDescent="0.2">
      <c r="B400" s="14" t="s">
        <v>759</v>
      </c>
      <c r="C400" s="14" t="s">
        <v>760</v>
      </c>
      <c r="D400" s="14">
        <v>6</v>
      </c>
      <c r="E400" s="15">
        <v>315.69</v>
      </c>
      <c r="F400" s="16" t="s">
        <v>8</v>
      </c>
      <c r="G400" s="38" t="str">
        <f>HYPERLINK("http://enext.ua/p0720011")</f>
        <v>http://enext.ua/p0720011</v>
      </c>
    </row>
    <row r="401" spans="2:7" ht="22.5" outlineLevel="4" x14ac:dyDescent="0.2">
      <c r="B401" s="14" t="s">
        <v>761</v>
      </c>
      <c r="C401" s="14" t="s">
        <v>762</v>
      </c>
      <c r="D401" s="14">
        <v>6</v>
      </c>
      <c r="E401" s="15">
        <v>342</v>
      </c>
      <c r="F401" s="16" t="s">
        <v>8</v>
      </c>
      <c r="G401" s="38" t="str">
        <f>HYPERLINK("http://enext.ua/p0720012")</f>
        <v>http://enext.ua/p0720012</v>
      </c>
    </row>
    <row r="402" spans="2:7" ht="22.5" outlineLevel="4" x14ac:dyDescent="0.2">
      <c r="B402" s="14" t="s">
        <v>763</v>
      </c>
      <c r="C402" s="14" t="s">
        <v>764</v>
      </c>
      <c r="D402" s="14">
        <v>6</v>
      </c>
      <c r="E402" s="15">
        <v>358.47</v>
      </c>
      <c r="F402" s="16" t="s">
        <v>8</v>
      </c>
      <c r="G402" s="38" t="str">
        <f>HYPERLINK("http://enext.ua/p0720013")</f>
        <v>http://enext.ua/p0720013</v>
      </c>
    </row>
    <row r="403" spans="2:7" ht="22.5" outlineLevel="4" x14ac:dyDescent="0.2">
      <c r="B403" s="14" t="s">
        <v>765</v>
      </c>
      <c r="C403" s="14" t="s">
        <v>766</v>
      </c>
      <c r="D403" s="14">
        <v>1</v>
      </c>
      <c r="E403" s="15">
        <v>358.47</v>
      </c>
      <c r="F403" s="16" t="s">
        <v>8</v>
      </c>
      <c r="G403" s="38" t="str">
        <f>HYPERLINK("http://enext.ua/p0720014")</f>
        <v>http://enext.ua/p0720014</v>
      </c>
    </row>
    <row r="404" spans="2:7" ht="22.5" outlineLevel="4" x14ac:dyDescent="0.2">
      <c r="B404" s="14" t="s">
        <v>767</v>
      </c>
      <c r="C404" s="14" t="s">
        <v>768</v>
      </c>
      <c r="D404" s="14">
        <v>1</v>
      </c>
      <c r="E404" s="15">
        <v>643.49</v>
      </c>
      <c r="F404" s="16" t="s">
        <v>8</v>
      </c>
      <c r="G404" s="38" t="str">
        <f>HYPERLINK("http://enext.ua/p0720015")</f>
        <v>http://enext.ua/p0720015</v>
      </c>
    </row>
    <row r="405" spans="2:7" ht="22.5" outlineLevel="4" x14ac:dyDescent="0.2">
      <c r="B405" s="14" t="s">
        <v>769</v>
      </c>
      <c r="C405" s="14" t="s">
        <v>770</v>
      </c>
      <c r="D405" s="14">
        <v>3</v>
      </c>
      <c r="E405" s="15">
        <v>643.49</v>
      </c>
      <c r="F405" s="16" t="s">
        <v>8</v>
      </c>
      <c r="G405" s="38" t="str">
        <f>HYPERLINK("http://enext.ua/p0720016")</f>
        <v>http://enext.ua/p0720016</v>
      </c>
    </row>
    <row r="406" spans="2:7" ht="22.5" outlineLevel="4" x14ac:dyDescent="0.2">
      <c r="B406" s="14" t="s">
        <v>771</v>
      </c>
      <c r="C406" s="14" t="s">
        <v>772</v>
      </c>
      <c r="D406" s="14">
        <v>3</v>
      </c>
      <c r="E406" s="15">
        <v>643.49</v>
      </c>
      <c r="F406" s="16" t="s">
        <v>8</v>
      </c>
      <c r="G406" s="38" t="str">
        <f>HYPERLINK("http://enext.ua/p0720017")</f>
        <v>http://enext.ua/p0720017</v>
      </c>
    </row>
    <row r="407" spans="2:7" ht="22.5" outlineLevel="4" x14ac:dyDescent="0.2">
      <c r="B407" s="14" t="s">
        <v>773</v>
      </c>
      <c r="C407" s="14" t="s">
        <v>774</v>
      </c>
      <c r="D407" s="14">
        <v>3</v>
      </c>
      <c r="E407" s="15">
        <v>671.16</v>
      </c>
      <c r="F407" s="16" t="s">
        <v>8</v>
      </c>
      <c r="G407" s="38" t="str">
        <f>HYPERLINK("http://enext.ua/p0720018")</f>
        <v>http://enext.ua/p0720018</v>
      </c>
    </row>
    <row r="408" spans="2:7" ht="22.5" outlineLevel="4" x14ac:dyDescent="0.2">
      <c r="B408" s="14" t="s">
        <v>775</v>
      </c>
      <c r="C408" s="14" t="s">
        <v>776</v>
      </c>
      <c r="D408" s="14">
        <v>3</v>
      </c>
      <c r="E408" s="15">
        <v>696.25</v>
      </c>
      <c r="F408" s="16" t="s">
        <v>8</v>
      </c>
      <c r="G408" s="38" t="str">
        <f>HYPERLINK("http://enext.ua/p0720019")</f>
        <v>http://enext.ua/p0720019</v>
      </c>
    </row>
    <row r="409" spans="2:7" ht="22.5" outlineLevel="4" x14ac:dyDescent="0.2">
      <c r="B409" s="14" t="s">
        <v>777</v>
      </c>
      <c r="C409" s="14" t="s">
        <v>778</v>
      </c>
      <c r="D409" s="14">
        <v>3</v>
      </c>
      <c r="E409" s="15">
        <v>696.25</v>
      </c>
      <c r="F409" s="16" t="s">
        <v>8</v>
      </c>
      <c r="G409" s="38" t="str">
        <f>HYPERLINK("http://enext.ua/p0720020")</f>
        <v>http://enext.ua/p0720020</v>
      </c>
    </row>
    <row r="410" spans="2:7" ht="22.5" outlineLevel="4" x14ac:dyDescent="0.2">
      <c r="B410" s="14" t="s">
        <v>779</v>
      </c>
      <c r="C410" s="14" t="s">
        <v>780</v>
      </c>
      <c r="D410" s="14">
        <v>3</v>
      </c>
      <c r="E410" s="15">
        <v>643.49</v>
      </c>
      <c r="F410" s="16" t="s">
        <v>8</v>
      </c>
      <c r="G410" s="38" t="str">
        <f>HYPERLINK("http://enext.ua/p0720021")</f>
        <v>http://enext.ua/p0720021</v>
      </c>
    </row>
    <row r="411" spans="2:7" ht="22.5" outlineLevel="4" x14ac:dyDescent="0.2">
      <c r="B411" s="14" t="s">
        <v>781</v>
      </c>
      <c r="C411" s="14" t="s">
        <v>782</v>
      </c>
      <c r="D411" s="14">
        <v>3</v>
      </c>
      <c r="E411" s="15">
        <v>643.49</v>
      </c>
      <c r="F411" s="16" t="s">
        <v>8</v>
      </c>
      <c r="G411" s="38" t="str">
        <f>HYPERLINK("http://enext.ua/p0720022")</f>
        <v>http://enext.ua/p0720022</v>
      </c>
    </row>
    <row r="412" spans="2:7" ht="22.5" outlineLevel="4" x14ac:dyDescent="0.2">
      <c r="B412" s="14" t="s">
        <v>783</v>
      </c>
      <c r="C412" s="14" t="s">
        <v>784</v>
      </c>
      <c r="D412" s="14">
        <v>3</v>
      </c>
      <c r="E412" s="15">
        <v>643.49</v>
      </c>
      <c r="F412" s="16" t="s">
        <v>8</v>
      </c>
      <c r="G412" s="38" t="str">
        <f>HYPERLINK("http://enext.ua/p0720023")</f>
        <v>http://enext.ua/p0720023</v>
      </c>
    </row>
    <row r="413" spans="2:7" ht="22.5" outlineLevel="4" x14ac:dyDescent="0.2">
      <c r="B413" s="14" t="s">
        <v>785</v>
      </c>
      <c r="C413" s="14" t="s">
        <v>786</v>
      </c>
      <c r="D413" s="14">
        <v>3</v>
      </c>
      <c r="E413" s="15">
        <v>671.16</v>
      </c>
      <c r="F413" s="16" t="s">
        <v>8</v>
      </c>
      <c r="G413" s="38" t="str">
        <f>HYPERLINK("http://enext.ua/p0720024")</f>
        <v>http://enext.ua/p0720024</v>
      </c>
    </row>
    <row r="414" spans="2:7" ht="22.5" outlineLevel="4" x14ac:dyDescent="0.2">
      <c r="B414" s="14" t="s">
        <v>787</v>
      </c>
      <c r="C414" s="14" t="s">
        <v>788</v>
      </c>
      <c r="D414" s="14">
        <v>3</v>
      </c>
      <c r="E414" s="15">
        <v>696.25</v>
      </c>
      <c r="F414" s="16" t="s">
        <v>8</v>
      </c>
      <c r="G414" s="38" t="str">
        <f>HYPERLINK("http://enext.ua/p0720025")</f>
        <v>http://enext.ua/p0720025</v>
      </c>
    </row>
    <row r="415" spans="2:7" ht="22.5" outlineLevel="4" x14ac:dyDescent="0.2">
      <c r="B415" s="14" t="s">
        <v>789</v>
      </c>
      <c r="C415" s="14" t="s">
        <v>790</v>
      </c>
      <c r="D415" s="14">
        <v>3</v>
      </c>
      <c r="E415" s="15">
        <v>696.25</v>
      </c>
      <c r="F415" s="16" t="s">
        <v>8</v>
      </c>
      <c r="G415" s="38" t="str">
        <f>HYPERLINK("http://enext.ua/p0720026")</f>
        <v>http://enext.ua/p0720026</v>
      </c>
    </row>
    <row r="416" spans="2:7" ht="24" outlineLevel="3" x14ac:dyDescent="0.2">
      <c r="B416" s="10"/>
      <c r="C416" s="36" t="s">
        <v>791</v>
      </c>
      <c r="D416" s="10"/>
      <c r="E416" s="11"/>
      <c r="F416" s="11"/>
      <c r="G416" s="10"/>
    </row>
    <row r="417" spans="2:7" ht="22.5" outlineLevel="4" x14ac:dyDescent="0.2">
      <c r="B417" s="14" t="s">
        <v>792</v>
      </c>
      <c r="C417" s="14" t="s">
        <v>793</v>
      </c>
      <c r="D417" s="14">
        <v>6</v>
      </c>
      <c r="E417" s="15">
        <v>578.79999999999995</v>
      </c>
      <c r="F417" s="16" t="s">
        <v>8</v>
      </c>
      <c r="G417" s="38" t="str">
        <f>HYPERLINK("http://enext.ua/i0230001")</f>
        <v>http://enext.ua/i0230001</v>
      </c>
    </row>
    <row r="418" spans="2:7" ht="22.5" outlineLevel="4" x14ac:dyDescent="0.2">
      <c r="B418" s="14" t="s">
        <v>794</v>
      </c>
      <c r="C418" s="14" t="s">
        <v>795</v>
      </c>
      <c r="D418" s="14">
        <v>6</v>
      </c>
      <c r="E418" s="15">
        <v>547.30999999999995</v>
      </c>
      <c r="F418" s="16" t="s">
        <v>8</v>
      </c>
      <c r="G418" s="38" t="str">
        <f>HYPERLINK("http://enext.ua/i0230002")</f>
        <v>http://enext.ua/i0230002</v>
      </c>
    </row>
    <row r="419" spans="2:7" ht="22.5" outlineLevel="4" x14ac:dyDescent="0.2">
      <c r="B419" s="14" t="s">
        <v>796</v>
      </c>
      <c r="C419" s="14" t="s">
        <v>797</v>
      </c>
      <c r="D419" s="14">
        <v>6</v>
      </c>
      <c r="E419" s="15">
        <v>578.79999999999995</v>
      </c>
      <c r="F419" s="16" t="s">
        <v>8</v>
      </c>
      <c r="G419" s="38" t="str">
        <f>HYPERLINK("http://enext.ua/i0230003")</f>
        <v>http://enext.ua/i0230003</v>
      </c>
    </row>
    <row r="420" spans="2:7" ht="22.5" outlineLevel="4" x14ac:dyDescent="0.2">
      <c r="B420" s="14" t="s">
        <v>798</v>
      </c>
      <c r="C420" s="14" t="s">
        <v>799</v>
      </c>
      <c r="D420" s="14">
        <v>6</v>
      </c>
      <c r="E420" s="15">
        <v>622.64</v>
      </c>
      <c r="F420" s="16" t="s">
        <v>8</v>
      </c>
      <c r="G420" s="38" t="str">
        <f>HYPERLINK("http://enext.ua/i0230004")</f>
        <v>http://enext.ua/i0230004</v>
      </c>
    </row>
    <row r="421" spans="2:7" ht="22.5" outlineLevel="4" x14ac:dyDescent="0.2">
      <c r="B421" s="14" t="s">
        <v>800</v>
      </c>
      <c r="C421" s="14" t="s">
        <v>801</v>
      </c>
      <c r="D421" s="14">
        <v>6</v>
      </c>
      <c r="E421" s="15">
        <v>578.79999999999995</v>
      </c>
      <c r="F421" s="16" t="s">
        <v>8</v>
      </c>
      <c r="G421" s="38" t="str">
        <f>HYPERLINK("http://enext.ua/i0230005")</f>
        <v>http://enext.ua/i0230005</v>
      </c>
    </row>
    <row r="422" spans="2:7" ht="22.5" outlineLevel="4" x14ac:dyDescent="0.2">
      <c r="B422" s="14" t="s">
        <v>802</v>
      </c>
      <c r="C422" s="14" t="s">
        <v>803</v>
      </c>
      <c r="D422" s="14">
        <v>6</v>
      </c>
      <c r="E422" s="15">
        <v>578.79999999999995</v>
      </c>
      <c r="F422" s="16" t="s">
        <v>8</v>
      </c>
      <c r="G422" s="38" t="str">
        <f>HYPERLINK("http://enext.ua/i0230006")</f>
        <v>http://enext.ua/i0230006</v>
      </c>
    </row>
    <row r="423" spans="2:7" ht="22.5" outlineLevel="4" x14ac:dyDescent="0.2">
      <c r="B423" s="14" t="s">
        <v>804</v>
      </c>
      <c r="C423" s="14" t="s">
        <v>805</v>
      </c>
      <c r="D423" s="14">
        <v>6</v>
      </c>
      <c r="E423" s="15">
        <v>578.79999999999995</v>
      </c>
      <c r="F423" s="16" t="s">
        <v>8</v>
      </c>
      <c r="G423" s="38" t="str">
        <f>HYPERLINK("http://enext.ua/i0230007")</f>
        <v>http://enext.ua/i0230007</v>
      </c>
    </row>
    <row r="424" spans="2:7" ht="22.5" outlineLevel="4" x14ac:dyDescent="0.2">
      <c r="B424" s="14" t="s">
        <v>806</v>
      </c>
      <c r="C424" s="14" t="s">
        <v>807</v>
      </c>
      <c r="D424" s="14">
        <v>6</v>
      </c>
      <c r="E424" s="15">
        <v>572.03</v>
      </c>
      <c r="F424" s="16" t="s">
        <v>8</v>
      </c>
      <c r="G424" s="38" t="str">
        <f>HYPERLINK("http://enext.ua/i0230008")</f>
        <v>http://enext.ua/i0230008</v>
      </c>
    </row>
    <row r="425" spans="2:7" ht="22.5" outlineLevel="4" x14ac:dyDescent="0.2">
      <c r="B425" s="14" t="s">
        <v>808</v>
      </c>
      <c r="C425" s="14" t="s">
        <v>809</v>
      </c>
      <c r="D425" s="14">
        <v>6</v>
      </c>
      <c r="E425" s="15">
        <v>622.64</v>
      </c>
      <c r="F425" s="16" t="s">
        <v>8</v>
      </c>
      <c r="G425" s="38" t="str">
        <f>HYPERLINK("http://enext.ua/i0230009")</f>
        <v>http://enext.ua/i0230009</v>
      </c>
    </row>
    <row r="426" spans="2:7" ht="22.5" outlineLevel="4" x14ac:dyDescent="0.2">
      <c r="B426" s="14" t="s">
        <v>810</v>
      </c>
      <c r="C426" s="14" t="s">
        <v>811</v>
      </c>
      <c r="D426" s="14">
        <v>6</v>
      </c>
      <c r="E426" s="15">
        <v>578.79999999999995</v>
      </c>
      <c r="F426" s="16" t="s">
        <v>8</v>
      </c>
      <c r="G426" s="38" t="str">
        <f>HYPERLINK("http://enext.ua/i0230010")</f>
        <v>http://enext.ua/i0230010</v>
      </c>
    </row>
    <row r="427" spans="2:7" ht="22.5" outlineLevel="4" x14ac:dyDescent="0.2">
      <c r="B427" s="14" t="s">
        <v>812</v>
      </c>
      <c r="C427" s="14" t="s">
        <v>813</v>
      </c>
      <c r="D427" s="14">
        <v>6</v>
      </c>
      <c r="E427" s="15">
        <v>578.79999999999995</v>
      </c>
      <c r="F427" s="16" t="s">
        <v>8</v>
      </c>
      <c r="G427" s="38" t="str">
        <f>HYPERLINK("http://enext.ua/i0230011")</f>
        <v>http://enext.ua/i0230011</v>
      </c>
    </row>
    <row r="428" spans="2:7" ht="22.5" outlineLevel="4" x14ac:dyDescent="0.2">
      <c r="B428" s="14" t="s">
        <v>814</v>
      </c>
      <c r="C428" s="14" t="s">
        <v>815</v>
      </c>
      <c r="D428" s="14">
        <v>6</v>
      </c>
      <c r="E428" s="15">
        <v>578.79999999999995</v>
      </c>
      <c r="F428" s="16" t="s">
        <v>8</v>
      </c>
      <c r="G428" s="38" t="str">
        <f>HYPERLINK("http://enext.ua/i0230012")</f>
        <v>http://enext.ua/i0230012</v>
      </c>
    </row>
    <row r="429" spans="2:7" ht="12" outlineLevel="2" x14ac:dyDescent="0.2">
      <c r="B429" s="8"/>
      <c r="C429" s="35" t="s">
        <v>816</v>
      </c>
      <c r="D429" s="8"/>
      <c r="E429" s="9"/>
      <c r="F429" s="9"/>
      <c r="G429" s="8"/>
    </row>
    <row r="430" spans="2:7" ht="12" outlineLevel="3" x14ac:dyDescent="0.2">
      <c r="B430" s="10"/>
      <c r="C430" s="36" t="s">
        <v>817</v>
      </c>
      <c r="D430" s="10"/>
      <c r="E430" s="11"/>
      <c r="F430" s="11"/>
      <c r="G430" s="10"/>
    </row>
    <row r="431" spans="2:7" ht="11.25" outlineLevel="4" x14ac:dyDescent="0.2">
      <c r="B431" s="14" t="s">
        <v>818</v>
      </c>
      <c r="C431" s="14" t="s">
        <v>819</v>
      </c>
      <c r="D431" s="14">
        <v>10</v>
      </c>
      <c r="E431" s="15">
        <v>9.24</v>
      </c>
      <c r="F431" s="16" t="s">
        <v>8</v>
      </c>
      <c r="G431" s="38" t="str">
        <f>HYPERLINK("http://enext.ua/i0610011")</f>
        <v>http://enext.ua/i0610011</v>
      </c>
    </row>
    <row r="432" spans="2:7" ht="11.25" outlineLevel="4" x14ac:dyDescent="0.2">
      <c r="B432" s="14" t="s">
        <v>820</v>
      </c>
      <c r="C432" s="14" t="s">
        <v>821</v>
      </c>
      <c r="D432" s="14">
        <v>10</v>
      </c>
      <c r="E432" s="15">
        <v>9.24</v>
      </c>
      <c r="F432" s="16" t="s">
        <v>8</v>
      </c>
      <c r="G432" s="38" t="str">
        <f>HYPERLINK("http://enext.ua/i0610012")</f>
        <v>http://enext.ua/i0610012</v>
      </c>
    </row>
    <row r="433" spans="2:7" ht="11.25" outlineLevel="4" x14ac:dyDescent="0.2">
      <c r="B433" s="14" t="s">
        <v>822</v>
      </c>
      <c r="C433" s="14" t="s">
        <v>823</v>
      </c>
      <c r="D433" s="14">
        <v>10</v>
      </c>
      <c r="E433" s="15">
        <v>9.24</v>
      </c>
      <c r="F433" s="16" t="s">
        <v>8</v>
      </c>
      <c r="G433" s="38" t="str">
        <f>HYPERLINK("http://enext.ua/i0610013")</f>
        <v>http://enext.ua/i0610013</v>
      </c>
    </row>
    <row r="434" spans="2:7" ht="11.25" outlineLevel="4" x14ac:dyDescent="0.2">
      <c r="B434" s="14" t="s">
        <v>824</v>
      </c>
      <c r="C434" s="14" t="s">
        <v>825</v>
      </c>
      <c r="D434" s="14">
        <v>10</v>
      </c>
      <c r="E434" s="15">
        <v>11.55</v>
      </c>
      <c r="F434" s="16" t="s">
        <v>8</v>
      </c>
      <c r="G434" s="38" t="str">
        <f>HYPERLINK("http://enext.ua/i0610014")</f>
        <v>http://enext.ua/i0610014</v>
      </c>
    </row>
    <row r="435" spans="2:7" ht="11.25" outlineLevel="4" x14ac:dyDescent="0.2">
      <c r="B435" s="14" t="s">
        <v>826</v>
      </c>
      <c r="C435" s="14" t="s">
        <v>827</v>
      </c>
      <c r="D435" s="14">
        <v>10</v>
      </c>
      <c r="E435" s="15">
        <v>9.24</v>
      </c>
      <c r="F435" s="16" t="s">
        <v>8</v>
      </c>
      <c r="G435" s="38" t="str">
        <f>HYPERLINK("http://enext.ua/i0610015")</f>
        <v>http://enext.ua/i0610015</v>
      </c>
    </row>
    <row r="436" spans="2:7" ht="11.25" outlineLevel="4" x14ac:dyDescent="0.2">
      <c r="B436" s="14" t="s">
        <v>828</v>
      </c>
      <c r="C436" s="14" t="s">
        <v>829</v>
      </c>
      <c r="D436" s="14">
        <v>10</v>
      </c>
      <c r="E436" s="15">
        <v>9.24</v>
      </c>
      <c r="F436" s="16" t="s">
        <v>8</v>
      </c>
      <c r="G436" s="38" t="str">
        <f>HYPERLINK("http://enext.ua/i0610016")</f>
        <v>http://enext.ua/i0610016</v>
      </c>
    </row>
    <row r="437" spans="2:7" ht="11.25" outlineLevel="4" x14ac:dyDescent="0.2">
      <c r="B437" s="14" t="s">
        <v>830</v>
      </c>
      <c r="C437" s="14" t="s">
        <v>831</v>
      </c>
      <c r="D437" s="14">
        <v>10</v>
      </c>
      <c r="E437" s="15">
        <v>9.24</v>
      </c>
      <c r="F437" s="16" t="s">
        <v>8</v>
      </c>
      <c r="G437" s="38" t="str">
        <f>HYPERLINK("http://enext.ua/i0610017")</f>
        <v>http://enext.ua/i0610017</v>
      </c>
    </row>
    <row r="438" spans="2:7" ht="11.25" outlineLevel="4" x14ac:dyDescent="0.2">
      <c r="B438" s="14" t="s">
        <v>832</v>
      </c>
      <c r="C438" s="14" t="s">
        <v>833</v>
      </c>
      <c r="D438" s="14">
        <v>10</v>
      </c>
      <c r="E438" s="15">
        <v>9.24</v>
      </c>
      <c r="F438" s="16" t="s">
        <v>8</v>
      </c>
      <c r="G438" s="38" t="str">
        <f>HYPERLINK("http://enext.ua/i0610018")</f>
        <v>http://enext.ua/i0610018</v>
      </c>
    </row>
    <row r="439" spans="2:7" ht="11.25" outlineLevel="4" x14ac:dyDescent="0.2">
      <c r="B439" s="14" t="s">
        <v>834</v>
      </c>
      <c r="C439" s="14" t="s">
        <v>835</v>
      </c>
      <c r="D439" s="14">
        <v>10</v>
      </c>
      <c r="E439" s="15">
        <v>9.24</v>
      </c>
      <c r="F439" s="16" t="s">
        <v>8</v>
      </c>
      <c r="G439" s="38" t="str">
        <f>HYPERLINK("http://enext.ua/i0610019")</f>
        <v>http://enext.ua/i0610019</v>
      </c>
    </row>
    <row r="440" spans="2:7" ht="11.25" outlineLevel="4" x14ac:dyDescent="0.2">
      <c r="B440" s="14" t="s">
        <v>836</v>
      </c>
      <c r="C440" s="14" t="s">
        <v>837</v>
      </c>
      <c r="D440" s="14">
        <v>10</v>
      </c>
      <c r="E440" s="15">
        <v>9.24</v>
      </c>
      <c r="F440" s="16" t="s">
        <v>8</v>
      </c>
      <c r="G440" s="38" t="str">
        <f>HYPERLINK("http://enext.ua/i0610021")</f>
        <v>http://enext.ua/i0610021</v>
      </c>
    </row>
    <row r="441" spans="2:7" ht="11.25" outlineLevel="4" x14ac:dyDescent="0.2">
      <c r="B441" s="14" t="s">
        <v>838</v>
      </c>
      <c r="C441" s="14" t="s">
        <v>839</v>
      </c>
      <c r="D441" s="14">
        <v>10</v>
      </c>
      <c r="E441" s="15">
        <v>25.58</v>
      </c>
      <c r="F441" s="16" t="s">
        <v>8</v>
      </c>
      <c r="G441" s="38" t="str">
        <f>HYPERLINK("http://enext.ua/i0610020")</f>
        <v>http://enext.ua/i0610020</v>
      </c>
    </row>
    <row r="442" spans="2:7" ht="11.25" outlineLevel="4" x14ac:dyDescent="0.2">
      <c r="B442" s="14" t="s">
        <v>840</v>
      </c>
      <c r="C442" s="14" t="s">
        <v>841</v>
      </c>
      <c r="D442" s="14">
        <v>1</v>
      </c>
      <c r="E442" s="15">
        <v>25.58</v>
      </c>
      <c r="F442" s="16" t="s">
        <v>8</v>
      </c>
      <c r="G442" s="38" t="str">
        <f>HYPERLINK("http://enext.ua/i0610022")</f>
        <v>http://enext.ua/i0610022</v>
      </c>
    </row>
    <row r="443" spans="2:7" ht="11.25" outlineLevel="4" x14ac:dyDescent="0.2">
      <c r="B443" s="14" t="s">
        <v>842</v>
      </c>
      <c r="C443" s="14" t="s">
        <v>843</v>
      </c>
      <c r="D443" s="14">
        <v>1</v>
      </c>
      <c r="E443" s="15">
        <v>25.58</v>
      </c>
      <c r="F443" s="16" t="s">
        <v>8</v>
      </c>
      <c r="G443" s="38" t="str">
        <f>HYPERLINK("http://enext.ua/i0610023")</f>
        <v>http://enext.ua/i0610023</v>
      </c>
    </row>
    <row r="444" spans="2:7" ht="11.25" outlineLevel="4" x14ac:dyDescent="0.2">
      <c r="B444" s="14" t="s">
        <v>844</v>
      </c>
      <c r="C444" s="14" t="s">
        <v>845</v>
      </c>
      <c r="D444" s="14">
        <v>10</v>
      </c>
      <c r="E444" s="15">
        <v>25.58</v>
      </c>
      <c r="F444" s="16" t="s">
        <v>8</v>
      </c>
      <c r="G444" s="38" t="str">
        <f>HYPERLINK("http://enext.ua/i0610024")</f>
        <v>http://enext.ua/i0610024</v>
      </c>
    </row>
    <row r="445" spans="2:7" ht="11.25" outlineLevel="4" x14ac:dyDescent="0.2">
      <c r="B445" s="14" t="s">
        <v>846</v>
      </c>
      <c r="C445" s="14" t="s">
        <v>847</v>
      </c>
      <c r="D445" s="14">
        <v>10</v>
      </c>
      <c r="E445" s="15">
        <v>25.58</v>
      </c>
      <c r="F445" s="16" t="s">
        <v>8</v>
      </c>
      <c r="G445" s="38" t="str">
        <f>HYPERLINK("http://enext.ua/i0610025")</f>
        <v>http://enext.ua/i0610025</v>
      </c>
    </row>
    <row r="446" spans="2:7" ht="12" outlineLevel="3" x14ac:dyDescent="0.2">
      <c r="B446" s="10"/>
      <c r="C446" s="36" t="s">
        <v>848</v>
      </c>
      <c r="D446" s="10"/>
      <c r="E446" s="11"/>
      <c r="F446" s="11"/>
      <c r="G446" s="10"/>
    </row>
    <row r="447" spans="2:7" ht="11.25" outlineLevel="4" x14ac:dyDescent="0.2">
      <c r="B447" s="14" t="s">
        <v>849</v>
      </c>
      <c r="C447" s="14" t="s">
        <v>850</v>
      </c>
      <c r="D447" s="14">
        <v>12</v>
      </c>
      <c r="E447" s="15">
        <v>56.38</v>
      </c>
      <c r="F447" s="16" t="s">
        <v>8</v>
      </c>
      <c r="G447" s="38" t="str">
        <f>HYPERLINK("http://enext.ua/i0300001")</f>
        <v>http://enext.ua/i0300001</v>
      </c>
    </row>
    <row r="448" spans="2:7" ht="11.25" outlineLevel="4" x14ac:dyDescent="0.2">
      <c r="B448" s="14" t="s">
        <v>851</v>
      </c>
      <c r="C448" s="14" t="s">
        <v>852</v>
      </c>
      <c r="D448" s="14">
        <v>6</v>
      </c>
      <c r="E448" s="15">
        <v>101.48</v>
      </c>
      <c r="F448" s="16" t="s">
        <v>8</v>
      </c>
      <c r="G448" s="38" t="str">
        <f>HYPERLINK("http://enext.ua/i0300002")</f>
        <v>http://enext.ua/i0300002</v>
      </c>
    </row>
    <row r="449" spans="2:7" ht="11.25" outlineLevel="4" x14ac:dyDescent="0.2">
      <c r="B449" s="14" t="s">
        <v>853</v>
      </c>
      <c r="C449" s="14" t="s">
        <v>854</v>
      </c>
      <c r="D449" s="14">
        <v>4</v>
      </c>
      <c r="E449" s="15">
        <v>202.4</v>
      </c>
      <c r="F449" s="16" t="s">
        <v>8</v>
      </c>
      <c r="G449" s="38" t="str">
        <f>HYPERLINK("http://enext.ua/i0300003")</f>
        <v>http://enext.ua/i0300003</v>
      </c>
    </row>
    <row r="450" spans="2:7" ht="11.25" outlineLevel="4" x14ac:dyDescent="0.2">
      <c r="B450" s="14" t="s">
        <v>855</v>
      </c>
      <c r="C450" s="14" t="s">
        <v>856</v>
      </c>
      <c r="D450" s="14">
        <v>8</v>
      </c>
      <c r="E450" s="15">
        <v>82.5</v>
      </c>
      <c r="F450" s="16" t="s">
        <v>8</v>
      </c>
      <c r="G450" s="38" t="str">
        <f>HYPERLINK("http://enext.ua/i0300004")</f>
        <v>http://enext.ua/i0300004</v>
      </c>
    </row>
    <row r="451" spans="2:7" ht="11.25" outlineLevel="4" x14ac:dyDescent="0.2">
      <c r="B451" s="14" t="s">
        <v>857</v>
      </c>
      <c r="C451" s="14" t="s">
        <v>858</v>
      </c>
      <c r="D451" s="14">
        <v>4</v>
      </c>
      <c r="E451" s="15">
        <v>96.53</v>
      </c>
      <c r="F451" s="16" t="s">
        <v>8</v>
      </c>
      <c r="G451" s="38" t="str">
        <f>HYPERLINK("http://enext.ua/i0300005")</f>
        <v>http://enext.ua/i0300005</v>
      </c>
    </row>
    <row r="452" spans="2:7" ht="11.25" outlineLevel="4" x14ac:dyDescent="0.2">
      <c r="B452" s="14" t="s">
        <v>859</v>
      </c>
      <c r="C452" s="14" t="s">
        <v>860</v>
      </c>
      <c r="D452" s="14">
        <v>2</v>
      </c>
      <c r="E452" s="15">
        <v>297</v>
      </c>
      <c r="F452" s="16" t="s">
        <v>8</v>
      </c>
      <c r="G452" s="38" t="str">
        <f>HYPERLINK("http://enext.ua/i0300006")</f>
        <v>http://enext.ua/i0300006</v>
      </c>
    </row>
    <row r="453" spans="2:7" ht="11.25" outlineLevel="4" x14ac:dyDescent="0.2">
      <c r="B453" s="14" t="s">
        <v>861</v>
      </c>
      <c r="C453" s="14" t="s">
        <v>862</v>
      </c>
      <c r="D453" s="14">
        <v>1</v>
      </c>
      <c r="E453" s="15">
        <v>150.97999999999999</v>
      </c>
      <c r="F453" s="16" t="s">
        <v>8</v>
      </c>
      <c r="G453" s="38" t="str">
        <f>HYPERLINK("http://enext.ua/i.0300001")</f>
        <v>http://enext.ua/i.0300001</v>
      </c>
    </row>
    <row r="454" spans="2:7" ht="11.25" outlineLevel="4" x14ac:dyDescent="0.2">
      <c r="B454" s="14" t="s">
        <v>863</v>
      </c>
      <c r="C454" s="14" t="s">
        <v>864</v>
      </c>
      <c r="D454" s="14">
        <v>1</v>
      </c>
      <c r="E454" s="15">
        <v>198</v>
      </c>
      <c r="F454" s="16" t="s">
        <v>8</v>
      </c>
      <c r="G454" s="38" t="str">
        <f>HYPERLINK("http://enext.ua/i.0300002")</f>
        <v>http://enext.ua/i.0300002</v>
      </c>
    </row>
    <row r="455" spans="2:7" ht="11.25" outlineLevel="4" x14ac:dyDescent="0.2">
      <c r="B455" s="14" t="s">
        <v>865</v>
      </c>
      <c r="C455" s="14" t="s">
        <v>866</v>
      </c>
      <c r="D455" s="14">
        <v>1</v>
      </c>
      <c r="E455" s="15">
        <v>297</v>
      </c>
      <c r="F455" s="16" t="s">
        <v>8</v>
      </c>
      <c r="G455" s="38" t="str">
        <f>HYPERLINK("http://enext.ua/i.0300003")</f>
        <v>http://enext.ua/i.0300003</v>
      </c>
    </row>
    <row r="456" spans="2:7" ht="12" outlineLevel="2" x14ac:dyDescent="0.2">
      <c r="B456" s="8"/>
      <c r="C456" s="35" t="s">
        <v>867</v>
      </c>
      <c r="D456" s="8"/>
      <c r="E456" s="9"/>
      <c r="F456" s="9"/>
      <c r="G456" s="8"/>
    </row>
    <row r="457" spans="2:7" ht="11.25" outlineLevel="3" x14ac:dyDescent="0.2">
      <c r="B457" s="14" t="s">
        <v>868</v>
      </c>
      <c r="C457" s="14" t="s">
        <v>869</v>
      </c>
      <c r="D457" s="14">
        <v>12</v>
      </c>
      <c r="E457" s="15">
        <v>83.48</v>
      </c>
      <c r="F457" s="16" t="s">
        <v>8</v>
      </c>
      <c r="G457" s="38" t="str">
        <f>HYPERLINK("http://enext.ua/p008007")</f>
        <v>http://enext.ua/p008007</v>
      </c>
    </row>
    <row r="458" spans="2:7" ht="11.25" outlineLevel="3" x14ac:dyDescent="0.2">
      <c r="B458" s="14" t="s">
        <v>870</v>
      </c>
      <c r="C458" s="14" t="s">
        <v>871</v>
      </c>
      <c r="D458" s="14">
        <v>12</v>
      </c>
      <c r="E458" s="15">
        <v>93.56</v>
      </c>
      <c r="F458" s="16" t="s">
        <v>8</v>
      </c>
      <c r="G458" s="38" t="str">
        <f>HYPERLINK("http://enext.ua/p008008")</f>
        <v>http://enext.ua/p008008</v>
      </c>
    </row>
    <row r="459" spans="2:7" ht="11.25" outlineLevel="3" x14ac:dyDescent="0.2">
      <c r="B459" s="14" t="s">
        <v>872</v>
      </c>
      <c r="C459" s="14" t="s">
        <v>873</v>
      </c>
      <c r="D459" s="14">
        <v>6</v>
      </c>
      <c r="E459" s="15">
        <v>161.28</v>
      </c>
      <c r="F459" s="16" t="s">
        <v>8</v>
      </c>
      <c r="G459" s="38" t="str">
        <f>HYPERLINK("http://enext.ua/p008011")</f>
        <v>http://enext.ua/p008011</v>
      </c>
    </row>
    <row r="460" spans="2:7" ht="11.25" outlineLevel="3" x14ac:dyDescent="0.2">
      <c r="B460" s="14" t="s">
        <v>874</v>
      </c>
      <c r="C460" s="14" t="s">
        <v>875</v>
      </c>
      <c r="D460" s="14">
        <v>6</v>
      </c>
      <c r="E460" s="15">
        <v>133.01</v>
      </c>
      <c r="F460" s="16" t="s">
        <v>8</v>
      </c>
      <c r="G460" s="38" t="str">
        <f>HYPERLINK("http://enext.ua/p008012")</f>
        <v>http://enext.ua/p008012</v>
      </c>
    </row>
    <row r="461" spans="2:7" ht="11.25" outlineLevel="3" x14ac:dyDescent="0.2">
      <c r="B461" s="14" t="s">
        <v>876</v>
      </c>
      <c r="C461" s="14" t="s">
        <v>877</v>
      </c>
      <c r="D461" s="14">
        <v>4</v>
      </c>
      <c r="E461" s="15">
        <v>249.8</v>
      </c>
      <c r="F461" s="16" t="s">
        <v>8</v>
      </c>
      <c r="G461" s="38" t="str">
        <f>HYPERLINK("http://enext.ua/p008009")</f>
        <v>http://enext.ua/p008009</v>
      </c>
    </row>
    <row r="462" spans="2:7" ht="11.25" outlineLevel="3" x14ac:dyDescent="0.2">
      <c r="B462" s="14" t="s">
        <v>878</v>
      </c>
      <c r="C462" s="14" t="s">
        <v>879</v>
      </c>
      <c r="D462" s="14">
        <v>4</v>
      </c>
      <c r="E462" s="15">
        <v>279.83</v>
      </c>
      <c r="F462" s="16" t="s">
        <v>8</v>
      </c>
      <c r="G462" s="38" t="str">
        <f>HYPERLINK("http://enext.ua/p008010")</f>
        <v>http://enext.ua/p008010</v>
      </c>
    </row>
    <row r="463" spans="2:7" ht="11.25" outlineLevel="3" x14ac:dyDescent="0.2">
      <c r="B463" s="14" t="s">
        <v>880</v>
      </c>
      <c r="C463" s="14" t="s">
        <v>881</v>
      </c>
      <c r="D463" s="14">
        <v>1</v>
      </c>
      <c r="E463" s="15">
        <v>125.04</v>
      </c>
      <c r="F463" s="16" t="s">
        <v>8</v>
      </c>
      <c r="G463" s="38" t="str">
        <f>HYPERLINK("http://enext.ua/p008013")</f>
        <v>http://enext.ua/p008013</v>
      </c>
    </row>
    <row r="464" spans="2:7" ht="11.25" outlineLevel="3" x14ac:dyDescent="0.2">
      <c r="B464" s="14" t="s">
        <v>882</v>
      </c>
      <c r="C464" s="14" t="s">
        <v>883</v>
      </c>
      <c r="D464" s="14">
        <v>1</v>
      </c>
      <c r="E464" s="15">
        <v>252.3</v>
      </c>
      <c r="F464" s="16" t="s">
        <v>8</v>
      </c>
      <c r="G464" s="38" t="str">
        <f>HYPERLINK("http://enext.ua/p008014")</f>
        <v>http://enext.ua/p008014</v>
      </c>
    </row>
    <row r="465" spans="2:7" ht="11.25" outlineLevel="3" x14ac:dyDescent="0.2">
      <c r="B465" s="14" t="s">
        <v>884</v>
      </c>
      <c r="C465" s="14" t="s">
        <v>885</v>
      </c>
      <c r="D465" s="14">
        <v>1</v>
      </c>
      <c r="E465" s="15">
        <v>379.55</v>
      </c>
      <c r="F465" s="16" t="s">
        <v>8</v>
      </c>
      <c r="G465" s="38" t="str">
        <f>HYPERLINK("http://enext.ua/p008015")</f>
        <v>http://enext.ua/p008015</v>
      </c>
    </row>
    <row r="466" spans="2:7" ht="11.25" outlineLevel="3" x14ac:dyDescent="0.2">
      <c r="B466" s="14" t="s">
        <v>886</v>
      </c>
      <c r="C466" s="14" t="s">
        <v>887</v>
      </c>
      <c r="D466" s="14">
        <v>1</v>
      </c>
      <c r="E466" s="15">
        <v>510.13</v>
      </c>
      <c r="F466" s="16" t="s">
        <v>8</v>
      </c>
      <c r="G466" s="38" t="str">
        <f>HYPERLINK("http://enext.ua/p008016")</f>
        <v>http://enext.ua/p008016</v>
      </c>
    </row>
    <row r="467" spans="2:7" ht="12" outlineLevel="2" x14ac:dyDescent="0.2">
      <c r="B467" s="8"/>
      <c r="C467" s="35" t="s">
        <v>888</v>
      </c>
      <c r="D467" s="8"/>
      <c r="E467" s="9"/>
      <c r="F467" s="9"/>
      <c r="G467" s="8"/>
    </row>
    <row r="468" spans="2:7" ht="11.25" outlineLevel="3" x14ac:dyDescent="0.2">
      <c r="B468" s="14" t="s">
        <v>889</v>
      </c>
      <c r="C468" s="14" t="s">
        <v>890</v>
      </c>
      <c r="D468" s="14">
        <v>12</v>
      </c>
      <c r="E468" s="15">
        <v>291.64</v>
      </c>
      <c r="F468" s="16" t="s">
        <v>8</v>
      </c>
      <c r="G468" s="38" t="str">
        <f>HYPERLINK("http://enext.ua/p005017")</f>
        <v>http://enext.ua/p005017</v>
      </c>
    </row>
    <row r="469" spans="2:7" ht="11.25" outlineLevel="3" x14ac:dyDescent="0.2">
      <c r="B469" s="14" t="s">
        <v>891</v>
      </c>
      <c r="C469" s="14" t="s">
        <v>892</v>
      </c>
      <c r="D469" s="14">
        <v>12</v>
      </c>
      <c r="E469" s="15">
        <v>358.34</v>
      </c>
      <c r="F469" s="16" t="s">
        <v>8</v>
      </c>
      <c r="G469" s="38" t="str">
        <f>HYPERLINK("http://enext.ua/p005020")</f>
        <v>http://enext.ua/p005020</v>
      </c>
    </row>
    <row r="470" spans="2:7" ht="11.25" outlineLevel="3" x14ac:dyDescent="0.2">
      <c r="B470" s="14" t="s">
        <v>893</v>
      </c>
      <c r="C470" s="14" t="s">
        <v>894</v>
      </c>
      <c r="D470" s="14">
        <v>12</v>
      </c>
      <c r="E470" s="15">
        <v>358.34</v>
      </c>
      <c r="F470" s="16" t="s">
        <v>8</v>
      </c>
      <c r="G470" s="38" t="str">
        <f>HYPERLINK("http://enext.ua/p005025")</f>
        <v>http://enext.ua/p005025</v>
      </c>
    </row>
    <row r="471" spans="2:7" ht="11.25" outlineLevel="3" x14ac:dyDescent="0.2">
      <c r="B471" s="14" t="s">
        <v>895</v>
      </c>
      <c r="C471" s="14" t="s">
        <v>896</v>
      </c>
      <c r="D471" s="14">
        <v>12</v>
      </c>
      <c r="E471" s="15">
        <v>358.34</v>
      </c>
      <c r="F471" s="16" t="s">
        <v>8</v>
      </c>
      <c r="G471" s="38" t="str">
        <f>HYPERLINK("http://enext.ua/p005001")</f>
        <v>http://enext.ua/p005001</v>
      </c>
    </row>
    <row r="472" spans="2:7" ht="11.25" outlineLevel="3" x14ac:dyDescent="0.2">
      <c r="B472" s="14" t="s">
        <v>897</v>
      </c>
      <c r="C472" s="14" t="s">
        <v>898</v>
      </c>
      <c r="D472" s="14">
        <v>12</v>
      </c>
      <c r="E472" s="15">
        <v>539.62</v>
      </c>
      <c r="F472" s="16" t="s">
        <v>8</v>
      </c>
      <c r="G472" s="38" t="str">
        <f>HYPERLINK("http://enext.ua/p005003")</f>
        <v>http://enext.ua/p005003</v>
      </c>
    </row>
    <row r="473" spans="2:7" ht="11.25" outlineLevel="3" x14ac:dyDescent="0.2">
      <c r="B473" s="14" t="s">
        <v>899</v>
      </c>
      <c r="C473" s="14" t="s">
        <v>900</v>
      </c>
      <c r="D473" s="14">
        <v>12</v>
      </c>
      <c r="E473" s="15">
        <v>594.83000000000004</v>
      </c>
      <c r="F473" s="16" t="s">
        <v>8</v>
      </c>
      <c r="G473" s="38" t="str">
        <f>HYPERLINK("http://enext.ua/p005018")</f>
        <v>http://enext.ua/p005018</v>
      </c>
    </row>
    <row r="474" spans="2:7" ht="11.25" outlineLevel="3" x14ac:dyDescent="0.2">
      <c r="B474" s="14" t="s">
        <v>901</v>
      </c>
      <c r="C474" s="14" t="s">
        <v>902</v>
      </c>
      <c r="D474" s="14">
        <v>6</v>
      </c>
      <c r="E474" s="15">
        <v>533.41999999999996</v>
      </c>
      <c r="F474" s="16" t="s">
        <v>8</v>
      </c>
      <c r="G474" s="38" t="str">
        <f>HYPERLINK("http://enext.ua/p005019")</f>
        <v>http://enext.ua/p005019</v>
      </c>
    </row>
    <row r="475" spans="2:7" ht="11.25" outlineLevel="3" x14ac:dyDescent="0.2">
      <c r="B475" s="14" t="s">
        <v>903</v>
      </c>
      <c r="C475" s="14" t="s">
        <v>904</v>
      </c>
      <c r="D475" s="14">
        <v>6</v>
      </c>
      <c r="E475" s="15">
        <v>564.49</v>
      </c>
      <c r="F475" s="16" t="s">
        <v>8</v>
      </c>
      <c r="G475" s="38" t="str">
        <f>HYPERLINK("http://enext.ua/p005022")</f>
        <v>http://enext.ua/p005022</v>
      </c>
    </row>
    <row r="476" spans="2:7" ht="11.25" outlineLevel="3" x14ac:dyDescent="0.2">
      <c r="B476" s="14" t="s">
        <v>905</v>
      </c>
      <c r="C476" s="14" t="s">
        <v>906</v>
      </c>
      <c r="D476" s="14">
        <v>6</v>
      </c>
      <c r="E476" s="15">
        <v>618.25</v>
      </c>
      <c r="F476" s="16" t="s">
        <v>8</v>
      </c>
      <c r="G476" s="38" t="str">
        <f>HYPERLINK("http://enext.ua/p005021")</f>
        <v>http://enext.ua/p005021</v>
      </c>
    </row>
    <row r="477" spans="2:7" ht="11.25" outlineLevel="3" x14ac:dyDescent="0.2">
      <c r="B477" s="14" t="s">
        <v>907</v>
      </c>
      <c r="C477" s="14" t="s">
        <v>908</v>
      </c>
      <c r="D477" s="14">
        <v>6</v>
      </c>
      <c r="E477" s="15">
        <v>596.76</v>
      </c>
      <c r="F477" s="16" t="s">
        <v>8</v>
      </c>
      <c r="G477" s="38" t="str">
        <f>HYPERLINK("http://enext.ua/p005024")</f>
        <v>http://enext.ua/p005024</v>
      </c>
    </row>
    <row r="478" spans="2:7" ht="11.25" outlineLevel="3" x14ac:dyDescent="0.2">
      <c r="B478" s="14" t="s">
        <v>909</v>
      </c>
      <c r="C478" s="14" t="s">
        <v>910</v>
      </c>
      <c r="D478" s="14">
        <v>6</v>
      </c>
      <c r="E478" s="15">
        <v>638.19000000000005</v>
      </c>
      <c r="F478" s="16" t="s">
        <v>8</v>
      </c>
      <c r="G478" s="38" t="str">
        <f>HYPERLINK("http://enext.ua/p005005")</f>
        <v>http://enext.ua/p005005</v>
      </c>
    </row>
    <row r="479" spans="2:7" ht="11.25" outlineLevel="3" x14ac:dyDescent="0.2">
      <c r="B479" s="14" t="s">
        <v>911</v>
      </c>
      <c r="C479" s="14" t="s">
        <v>912</v>
      </c>
      <c r="D479" s="14">
        <v>6</v>
      </c>
      <c r="E479" s="15">
        <v>744.73</v>
      </c>
      <c r="F479" s="16" t="s">
        <v>8</v>
      </c>
      <c r="G479" s="38" t="str">
        <f>HYPERLINK("http://enext.ua/p005007")</f>
        <v>http://enext.ua/p005007</v>
      </c>
    </row>
    <row r="480" spans="2:7" ht="11.25" outlineLevel="3" x14ac:dyDescent="0.2">
      <c r="B480" s="14" t="s">
        <v>913</v>
      </c>
      <c r="C480" s="14" t="s">
        <v>914</v>
      </c>
      <c r="D480" s="14">
        <v>6</v>
      </c>
      <c r="E480" s="15">
        <v>850.33</v>
      </c>
      <c r="F480" s="16" t="s">
        <v>8</v>
      </c>
      <c r="G480" s="38" t="str">
        <f>HYPERLINK("http://enext.ua/p005009")</f>
        <v>http://enext.ua/p005009</v>
      </c>
    </row>
    <row r="481" spans="2:7" ht="11.25" outlineLevel="3" x14ac:dyDescent="0.2">
      <c r="B481" s="14" t="s">
        <v>915</v>
      </c>
      <c r="C481" s="14" t="s">
        <v>916</v>
      </c>
      <c r="D481" s="14">
        <v>6</v>
      </c>
      <c r="E481" s="17">
        <v>3067.58</v>
      </c>
      <c r="F481" s="16" t="s">
        <v>8</v>
      </c>
      <c r="G481" s="38" t="str">
        <f>HYPERLINK("http://enext.ua/p005023")</f>
        <v>http://enext.ua/p005023</v>
      </c>
    </row>
    <row r="482" spans="2:7" ht="11.25" outlineLevel="3" x14ac:dyDescent="0.2">
      <c r="B482" s="14" t="s">
        <v>917</v>
      </c>
      <c r="C482" s="14" t="s">
        <v>918</v>
      </c>
      <c r="D482" s="14">
        <v>10</v>
      </c>
      <c r="E482" s="15">
        <v>294.38</v>
      </c>
      <c r="F482" s="16" t="s">
        <v>8</v>
      </c>
      <c r="G482" s="38" t="str">
        <f>HYPERLINK("http://enext.ua/p005101")</f>
        <v>http://enext.ua/p005101</v>
      </c>
    </row>
    <row r="483" spans="2:7" ht="12" outlineLevel="2" x14ac:dyDescent="0.2">
      <c r="B483" s="8"/>
      <c r="C483" s="35" t="s">
        <v>919</v>
      </c>
      <c r="D483" s="8"/>
      <c r="E483" s="9"/>
      <c r="F483" s="9"/>
      <c r="G483" s="8"/>
    </row>
    <row r="484" spans="2:7" ht="11.25" outlineLevel="3" x14ac:dyDescent="0.2">
      <c r="B484" s="14" t="s">
        <v>920</v>
      </c>
      <c r="C484" s="14" t="s">
        <v>921</v>
      </c>
      <c r="D484" s="14">
        <v>5</v>
      </c>
      <c r="E484" s="15">
        <v>74.290000000000006</v>
      </c>
      <c r="F484" s="16" t="s">
        <v>8</v>
      </c>
      <c r="G484" s="38" t="str">
        <f>HYPERLINK("http://enext.ua/s004002")</f>
        <v>http://enext.ua/s004002</v>
      </c>
    </row>
    <row r="485" spans="2:7" ht="11.25" outlineLevel="3" x14ac:dyDescent="0.2">
      <c r="B485" s="14" t="s">
        <v>922</v>
      </c>
      <c r="C485" s="14" t="s">
        <v>923</v>
      </c>
      <c r="D485" s="14">
        <v>12</v>
      </c>
      <c r="E485" s="15">
        <v>52.45</v>
      </c>
      <c r="F485" s="16" t="s">
        <v>8</v>
      </c>
      <c r="G485" s="38" t="str">
        <f>HYPERLINK("http://enext.ua/s004001")</f>
        <v>http://enext.ua/s004001</v>
      </c>
    </row>
    <row r="486" spans="2:7" ht="12" outlineLevel="2" x14ac:dyDescent="0.2">
      <c r="B486" s="8"/>
      <c r="C486" s="35" t="s">
        <v>924</v>
      </c>
      <c r="D486" s="8"/>
      <c r="E486" s="9"/>
      <c r="F486" s="9"/>
      <c r="G486" s="8"/>
    </row>
    <row r="487" spans="2:7" ht="11.25" outlineLevel="3" x14ac:dyDescent="0.2">
      <c r="B487" s="14" t="s">
        <v>925</v>
      </c>
      <c r="C487" s="14" t="s">
        <v>926</v>
      </c>
      <c r="D487" s="14">
        <v>12</v>
      </c>
      <c r="E487" s="15">
        <v>62.37</v>
      </c>
      <c r="F487" s="16" t="s">
        <v>8</v>
      </c>
      <c r="G487" s="38" t="str">
        <f>HYPERLINK("http://enext.ua/p059003")</f>
        <v>http://enext.ua/p059003</v>
      </c>
    </row>
    <row r="488" spans="2:7" ht="11.25" outlineLevel="3" x14ac:dyDescent="0.2">
      <c r="B488" s="14" t="s">
        <v>927</v>
      </c>
      <c r="C488" s="14" t="s">
        <v>928</v>
      </c>
      <c r="D488" s="14">
        <v>12</v>
      </c>
      <c r="E488" s="15">
        <v>62.37</v>
      </c>
      <c r="F488" s="16" t="s">
        <v>8</v>
      </c>
      <c r="G488" s="38" t="str">
        <f>HYPERLINK("http://enext.ua/p059002")</f>
        <v>http://enext.ua/p059002</v>
      </c>
    </row>
    <row r="489" spans="2:7" ht="11.25" outlineLevel="3" x14ac:dyDescent="0.2">
      <c r="B489" s="14" t="s">
        <v>929</v>
      </c>
      <c r="C489" s="14" t="s">
        <v>930</v>
      </c>
      <c r="D489" s="14">
        <v>12</v>
      </c>
      <c r="E489" s="15">
        <v>62.37</v>
      </c>
      <c r="F489" s="16" t="s">
        <v>8</v>
      </c>
      <c r="G489" s="38" t="str">
        <f>HYPERLINK("http://enext.ua/p059006")</f>
        <v>http://enext.ua/p059006</v>
      </c>
    </row>
    <row r="490" spans="2:7" ht="11.25" outlineLevel="3" x14ac:dyDescent="0.2">
      <c r="B490" s="14" t="s">
        <v>931</v>
      </c>
      <c r="C490" s="14" t="s">
        <v>932</v>
      </c>
      <c r="D490" s="14">
        <v>12</v>
      </c>
      <c r="E490" s="15">
        <v>62.37</v>
      </c>
      <c r="F490" s="16" t="s">
        <v>8</v>
      </c>
      <c r="G490" s="38" t="str">
        <f>HYPERLINK("http://enext.ua/p059001")</f>
        <v>http://enext.ua/p059001</v>
      </c>
    </row>
    <row r="491" spans="2:7" ht="11.25" outlineLevel="3" x14ac:dyDescent="0.2">
      <c r="B491" s="14" t="s">
        <v>933</v>
      </c>
      <c r="C491" s="14" t="s">
        <v>934</v>
      </c>
      <c r="D491" s="14">
        <v>12</v>
      </c>
      <c r="E491" s="15">
        <v>62.37</v>
      </c>
      <c r="F491" s="16" t="s">
        <v>8</v>
      </c>
      <c r="G491" s="38" t="str">
        <f>HYPERLINK("http://enext.ua/p059005")</f>
        <v>http://enext.ua/p059005</v>
      </c>
    </row>
    <row r="492" spans="2:7" ht="11.25" outlineLevel="3" x14ac:dyDescent="0.2">
      <c r="B492" s="14" t="s">
        <v>935</v>
      </c>
      <c r="C492" s="14" t="s">
        <v>936</v>
      </c>
      <c r="D492" s="14">
        <v>12</v>
      </c>
      <c r="E492" s="15">
        <v>62.37</v>
      </c>
      <c r="F492" s="16" t="s">
        <v>8</v>
      </c>
      <c r="G492" s="38" t="str">
        <f>HYPERLINK("http://enext.ua/p059004")</f>
        <v>http://enext.ua/p059004</v>
      </c>
    </row>
    <row r="493" spans="2:7" ht="11.25" outlineLevel="3" x14ac:dyDescent="0.2">
      <c r="B493" s="14" t="s">
        <v>937</v>
      </c>
      <c r="C493" s="14" t="s">
        <v>938</v>
      </c>
      <c r="D493" s="14">
        <v>1</v>
      </c>
      <c r="E493" s="15">
        <v>51.43</v>
      </c>
      <c r="F493" s="16" t="s">
        <v>8</v>
      </c>
      <c r="G493" s="38" t="str">
        <f>HYPERLINK("http://enext.ua/i0270004")</f>
        <v>http://enext.ua/i0270004</v>
      </c>
    </row>
    <row r="494" spans="2:7" ht="11.25" outlineLevel="3" x14ac:dyDescent="0.2">
      <c r="B494" s="14" t="s">
        <v>939</v>
      </c>
      <c r="C494" s="14" t="s">
        <v>940</v>
      </c>
      <c r="D494" s="14">
        <v>1</v>
      </c>
      <c r="E494" s="15">
        <v>51.43</v>
      </c>
      <c r="F494" s="16" t="s">
        <v>8</v>
      </c>
      <c r="G494" s="38" t="str">
        <f>HYPERLINK("http://enext.ua/i0270005")</f>
        <v>http://enext.ua/i0270005</v>
      </c>
    </row>
    <row r="495" spans="2:7" ht="11.25" outlineLevel="3" x14ac:dyDescent="0.2">
      <c r="B495" s="14" t="s">
        <v>941</v>
      </c>
      <c r="C495" s="14" t="s">
        <v>942</v>
      </c>
      <c r="D495" s="14">
        <v>1</v>
      </c>
      <c r="E495" s="15">
        <v>54.45</v>
      </c>
      <c r="F495" s="16" t="s">
        <v>8</v>
      </c>
      <c r="G495" s="38" t="str">
        <f>HYPERLINK("http://enext.ua/i0270001")</f>
        <v>http://enext.ua/i0270001</v>
      </c>
    </row>
    <row r="496" spans="2:7" ht="11.25" outlineLevel="3" x14ac:dyDescent="0.2">
      <c r="B496" s="14" t="s">
        <v>943</v>
      </c>
      <c r="C496" s="14" t="s">
        <v>944</v>
      </c>
      <c r="D496" s="14">
        <v>1</v>
      </c>
      <c r="E496" s="15">
        <v>54.45</v>
      </c>
      <c r="F496" s="16" t="s">
        <v>8</v>
      </c>
      <c r="G496" s="38" t="str">
        <f>HYPERLINK("http://enext.ua/i0270002")</f>
        <v>http://enext.ua/i0270002</v>
      </c>
    </row>
    <row r="497" spans="2:7" ht="11.25" outlineLevel="3" x14ac:dyDescent="0.2">
      <c r="B497" s="14" t="s">
        <v>945</v>
      </c>
      <c r="C497" s="14" t="s">
        <v>946</v>
      </c>
      <c r="D497" s="14">
        <v>1</v>
      </c>
      <c r="E497" s="15">
        <v>51.43</v>
      </c>
      <c r="F497" s="16" t="s">
        <v>8</v>
      </c>
      <c r="G497" s="38" t="str">
        <f>HYPERLINK("http://enext.ua/i0290005")</f>
        <v>http://enext.ua/i0290005</v>
      </c>
    </row>
    <row r="498" spans="2:7" ht="11.25" outlineLevel="3" x14ac:dyDescent="0.2">
      <c r="B498" s="14" t="s">
        <v>947</v>
      </c>
      <c r="C498" s="14" t="s">
        <v>948</v>
      </c>
      <c r="D498" s="14">
        <v>1</v>
      </c>
      <c r="E498" s="15">
        <v>51.43</v>
      </c>
      <c r="F498" s="16" t="s">
        <v>8</v>
      </c>
      <c r="G498" s="38" t="str">
        <f>HYPERLINK("http://enext.ua/i0290001")</f>
        <v>http://enext.ua/i0290001</v>
      </c>
    </row>
    <row r="499" spans="2:7" ht="12" outlineLevel="2" x14ac:dyDescent="0.2">
      <c r="B499" s="8"/>
      <c r="C499" s="35" t="s">
        <v>949</v>
      </c>
      <c r="D499" s="8"/>
      <c r="E499" s="9"/>
      <c r="F499" s="9"/>
      <c r="G499" s="8"/>
    </row>
    <row r="500" spans="2:7" ht="11.25" outlineLevel="3" x14ac:dyDescent="0.2">
      <c r="B500" s="14" t="s">
        <v>950</v>
      </c>
      <c r="C500" s="14" t="s">
        <v>951</v>
      </c>
      <c r="D500" s="14">
        <v>12</v>
      </c>
      <c r="E500" s="15">
        <v>103.4</v>
      </c>
      <c r="F500" s="16" t="s">
        <v>8</v>
      </c>
      <c r="G500" s="38" t="str">
        <f>HYPERLINK("http://enext.ua/i0790002")</f>
        <v>http://enext.ua/i0790002</v>
      </c>
    </row>
    <row r="501" spans="2:7" ht="11.25" outlineLevel="3" x14ac:dyDescent="0.2">
      <c r="B501" s="14" t="s">
        <v>952</v>
      </c>
      <c r="C501" s="14" t="s">
        <v>953</v>
      </c>
      <c r="D501" s="14">
        <v>12</v>
      </c>
      <c r="E501" s="15">
        <v>103.4</v>
      </c>
      <c r="F501" s="16" t="s">
        <v>8</v>
      </c>
      <c r="G501" s="38" t="str">
        <f>HYPERLINK("http://enext.ua/i0790001")</f>
        <v>http://enext.ua/i0790001</v>
      </c>
    </row>
    <row r="502" spans="2:7" ht="11.25" outlineLevel="3" x14ac:dyDescent="0.2">
      <c r="B502" s="14" t="s">
        <v>954</v>
      </c>
      <c r="C502" s="14" t="s">
        <v>955</v>
      </c>
      <c r="D502" s="14">
        <v>12</v>
      </c>
      <c r="E502" s="15">
        <v>124.58</v>
      </c>
      <c r="F502" s="16" t="s">
        <v>8</v>
      </c>
      <c r="G502" s="38" t="str">
        <f>HYPERLINK("http://enext.ua/i0790004")</f>
        <v>http://enext.ua/i0790004</v>
      </c>
    </row>
    <row r="503" spans="2:7" ht="11.25" outlineLevel="3" x14ac:dyDescent="0.2">
      <c r="B503" s="14" t="s">
        <v>956</v>
      </c>
      <c r="C503" s="14" t="s">
        <v>957</v>
      </c>
      <c r="D503" s="14">
        <v>12</v>
      </c>
      <c r="E503" s="15">
        <v>124.58</v>
      </c>
      <c r="F503" s="16" t="s">
        <v>8</v>
      </c>
      <c r="G503" s="38" t="str">
        <f>HYPERLINK("http://enext.ua/i0790003")</f>
        <v>http://enext.ua/i0790003</v>
      </c>
    </row>
    <row r="504" spans="2:7" ht="11.25" outlineLevel="3" x14ac:dyDescent="0.2">
      <c r="B504" s="14" t="s">
        <v>958</v>
      </c>
      <c r="C504" s="14" t="s">
        <v>959</v>
      </c>
      <c r="D504" s="14">
        <v>12</v>
      </c>
      <c r="E504" s="15">
        <v>116.88</v>
      </c>
      <c r="F504" s="16" t="s">
        <v>8</v>
      </c>
      <c r="G504" s="38" t="str">
        <f>HYPERLINK("http://enext.ua/i0790006")</f>
        <v>http://enext.ua/i0790006</v>
      </c>
    </row>
    <row r="505" spans="2:7" ht="11.25" outlineLevel="3" x14ac:dyDescent="0.2">
      <c r="B505" s="14" t="s">
        <v>960</v>
      </c>
      <c r="C505" s="14" t="s">
        <v>961</v>
      </c>
      <c r="D505" s="14">
        <v>12</v>
      </c>
      <c r="E505" s="15">
        <v>116.88</v>
      </c>
      <c r="F505" s="16" t="s">
        <v>8</v>
      </c>
      <c r="G505" s="38" t="str">
        <f>HYPERLINK("http://enext.ua/i0790005")</f>
        <v>http://enext.ua/i0790005</v>
      </c>
    </row>
    <row r="506" spans="2:7" ht="12" outlineLevel="2" x14ac:dyDescent="0.2">
      <c r="B506" s="8"/>
      <c r="C506" s="35" t="s">
        <v>962</v>
      </c>
      <c r="D506" s="8"/>
      <c r="E506" s="9"/>
      <c r="F506" s="9"/>
      <c r="G506" s="8"/>
    </row>
    <row r="507" spans="2:7" ht="11.25" outlineLevel="3" x14ac:dyDescent="0.2">
      <c r="B507" s="14" t="s">
        <v>963</v>
      </c>
      <c r="C507" s="14" t="s">
        <v>964</v>
      </c>
      <c r="D507" s="14">
        <v>1</v>
      </c>
      <c r="E507" s="15">
        <v>575.80999999999995</v>
      </c>
      <c r="F507" s="16" t="s">
        <v>8</v>
      </c>
      <c r="G507" s="38" t="str">
        <f>HYPERLINK("http://enext.ua/i083001")</f>
        <v>http://enext.ua/i083001</v>
      </c>
    </row>
    <row r="508" spans="2:7" ht="11.25" outlineLevel="3" x14ac:dyDescent="0.2">
      <c r="B508" s="14" t="s">
        <v>965</v>
      </c>
      <c r="C508" s="14" t="s">
        <v>966</v>
      </c>
      <c r="D508" s="14">
        <v>1</v>
      </c>
      <c r="E508" s="15">
        <v>748.74</v>
      </c>
      <c r="F508" s="16" t="s">
        <v>8</v>
      </c>
      <c r="G508" s="38" t="str">
        <f>HYPERLINK("http://enext.ua/i083002")</f>
        <v>http://enext.ua/i083002</v>
      </c>
    </row>
    <row r="509" spans="2:7" ht="11.25" outlineLevel="3" x14ac:dyDescent="0.2">
      <c r="B509" s="14" t="s">
        <v>967</v>
      </c>
      <c r="C509" s="14" t="s">
        <v>968</v>
      </c>
      <c r="D509" s="14">
        <v>1</v>
      </c>
      <c r="E509" s="15">
        <v>748.74</v>
      </c>
      <c r="F509" s="16" t="s">
        <v>8</v>
      </c>
      <c r="G509" s="38" t="str">
        <f>HYPERLINK("http://enext.ua/i083003")</f>
        <v>http://enext.ua/i083003</v>
      </c>
    </row>
    <row r="510" spans="2:7" ht="11.25" outlineLevel="3" x14ac:dyDescent="0.2">
      <c r="B510" s="14" t="s">
        <v>969</v>
      </c>
      <c r="C510" s="14" t="s">
        <v>970</v>
      </c>
      <c r="D510" s="14">
        <v>1</v>
      </c>
      <c r="E510" s="17">
        <v>1007.68</v>
      </c>
      <c r="F510" s="16" t="s">
        <v>8</v>
      </c>
      <c r="G510" s="38" t="str">
        <f>HYPERLINK("http://enext.ua/i083004")</f>
        <v>http://enext.ua/i083004</v>
      </c>
    </row>
    <row r="511" spans="2:7" ht="11.25" outlineLevel="3" x14ac:dyDescent="0.2">
      <c r="B511" s="14" t="s">
        <v>971</v>
      </c>
      <c r="C511" s="14" t="s">
        <v>972</v>
      </c>
      <c r="D511" s="14">
        <v>1</v>
      </c>
      <c r="E511" s="17">
        <v>1007.68</v>
      </c>
      <c r="F511" s="16" t="s">
        <v>8</v>
      </c>
      <c r="G511" s="38" t="str">
        <f>HYPERLINK("http://enext.ua/i083005")</f>
        <v>http://enext.ua/i083005</v>
      </c>
    </row>
    <row r="512" spans="2:7" ht="11.25" outlineLevel="3" x14ac:dyDescent="0.2">
      <c r="B512" s="14" t="s">
        <v>973</v>
      </c>
      <c r="C512" s="14" t="s">
        <v>974</v>
      </c>
      <c r="D512" s="14">
        <v>1</v>
      </c>
      <c r="E512" s="17">
        <v>1367.11</v>
      </c>
      <c r="F512" s="16" t="s">
        <v>8</v>
      </c>
      <c r="G512" s="38" t="str">
        <f>HYPERLINK("http://enext.ua/i083006")</f>
        <v>http://enext.ua/i083006</v>
      </c>
    </row>
    <row r="513" spans="2:7" ht="12" outlineLevel="2" x14ac:dyDescent="0.2">
      <c r="B513" s="8"/>
      <c r="C513" s="35" t="s">
        <v>975</v>
      </c>
      <c r="D513" s="8"/>
      <c r="E513" s="9"/>
      <c r="F513" s="9"/>
      <c r="G513" s="8"/>
    </row>
    <row r="514" spans="2:7" ht="11.25" outlineLevel="3" x14ac:dyDescent="0.2">
      <c r="B514" s="14" t="s">
        <v>976</v>
      </c>
      <c r="C514" s="14" t="s">
        <v>977</v>
      </c>
      <c r="D514" s="14">
        <v>1</v>
      </c>
      <c r="E514" s="15">
        <v>671.06</v>
      </c>
      <c r="F514" s="16" t="s">
        <v>8</v>
      </c>
      <c r="G514" s="38" t="str">
        <f>HYPERLINK("http://enext.ua/i0310031")</f>
        <v>http://enext.ua/i0310031</v>
      </c>
    </row>
    <row r="515" spans="2:7" ht="11.25" outlineLevel="3" x14ac:dyDescent="0.2">
      <c r="B515" s="14" t="s">
        <v>978</v>
      </c>
      <c r="C515" s="14" t="s">
        <v>979</v>
      </c>
      <c r="D515" s="14">
        <v>12</v>
      </c>
      <c r="E515" s="15">
        <v>68.72</v>
      </c>
      <c r="F515" s="16" t="s">
        <v>8</v>
      </c>
      <c r="G515" s="38" t="str">
        <f>HYPERLINK("http://enext.ua/p0600001")</f>
        <v>http://enext.ua/p0600001</v>
      </c>
    </row>
    <row r="516" spans="2:7" ht="11.25" outlineLevel="3" x14ac:dyDescent="0.2">
      <c r="B516" s="14" t="s">
        <v>980</v>
      </c>
      <c r="C516" s="14" t="s">
        <v>981</v>
      </c>
      <c r="D516" s="14">
        <v>1</v>
      </c>
      <c r="E516" s="15">
        <v>468.93</v>
      </c>
      <c r="F516" s="16" t="s">
        <v>8</v>
      </c>
      <c r="G516" s="38" t="str">
        <f>HYPERLINK("http://enext.ua/p057001")</f>
        <v>http://enext.ua/p057001</v>
      </c>
    </row>
    <row r="517" spans="2:7" ht="12" outlineLevel="1" x14ac:dyDescent="0.2">
      <c r="B517" s="6"/>
      <c r="C517" s="34" t="s">
        <v>982</v>
      </c>
      <c r="D517" s="6"/>
      <c r="E517" s="7"/>
      <c r="F517" s="7"/>
      <c r="G517" s="6"/>
    </row>
    <row r="518" spans="2:7" ht="12" outlineLevel="2" x14ac:dyDescent="0.2">
      <c r="B518" s="8"/>
      <c r="C518" s="35" t="s">
        <v>983</v>
      </c>
      <c r="D518" s="8"/>
      <c r="E518" s="9"/>
      <c r="F518" s="9"/>
      <c r="G518" s="8"/>
    </row>
    <row r="519" spans="2:7" ht="12" outlineLevel="3" x14ac:dyDescent="0.2">
      <c r="B519" s="10"/>
      <c r="C519" s="36" t="s">
        <v>984</v>
      </c>
      <c r="D519" s="10"/>
      <c r="E519" s="11"/>
      <c r="F519" s="11"/>
      <c r="G519" s="10"/>
    </row>
    <row r="520" spans="2:7" ht="12" outlineLevel="4" x14ac:dyDescent="0.2">
      <c r="B520" s="12"/>
      <c r="C520" s="37" t="s">
        <v>984</v>
      </c>
      <c r="D520" s="12"/>
      <c r="E520" s="13"/>
      <c r="F520" s="13"/>
      <c r="G520" s="12"/>
    </row>
    <row r="521" spans="2:7" ht="11.25" outlineLevel="5" x14ac:dyDescent="0.2">
      <c r="B521" s="14" t="s">
        <v>985</v>
      </c>
      <c r="C521" s="14" t="s">
        <v>986</v>
      </c>
      <c r="D521" s="14">
        <v>1</v>
      </c>
      <c r="E521" s="15">
        <v>589.73</v>
      </c>
      <c r="F521" s="16" t="s">
        <v>8</v>
      </c>
      <c r="G521" s="38" t="str">
        <f>HYPERLINK("http://enext.ua/i0010015")</f>
        <v>http://enext.ua/i0010015</v>
      </c>
    </row>
    <row r="522" spans="2:7" ht="11.25" outlineLevel="5" x14ac:dyDescent="0.2">
      <c r="B522" s="14" t="s">
        <v>987</v>
      </c>
      <c r="C522" s="14" t="s">
        <v>988</v>
      </c>
      <c r="D522" s="14">
        <v>1</v>
      </c>
      <c r="E522" s="15">
        <v>522.61</v>
      </c>
      <c r="F522" s="16" t="s">
        <v>8</v>
      </c>
      <c r="G522" s="38" t="str">
        <f>HYPERLINK("http://enext.ua/i0010014")</f>
        <v>http://enext.ua/i0010014</v>
      </c>
    </row>
    <row r="523" spans="2:7" ht="11.25" outlineLevel="5" x14ac:dyDescent="0.2">
      <c r="B523" s="14" t="s">
        <v>989</v>
      </c>
      <c r="C523" s="14" t="s">
        <v>990</v>
      </c>
      <c r="D523" s="14">
        <v>1</v>
      </c>
      <c r="E523" s="15">
        <v>531.1</v>
      </c>
      <c r="F523" s="16" t="s">
        <v>8</v>
      </c>
      <c r="G523" s="38" t="str">
        <f>HYPERLINK("http://enext.ua/i0010016")</f>
        <v>http://enext.ua/i0010016</v>
      </c>
    </row>
    <row r="524" spans="2:7" ht="11.25" outlineLevel="5" x14ac:dyDescent="0.2">
      <c r="B524" s="14" t="s">
        <v>991</v>
      </c>
      <c r="C524" s="14" t="s">
        <v>992</v>
      </c>
      <c r="D524" s="14">
        <v>1</v>
      </c>
      <c r="E524" s="15">
        <v>582.92999999999995</v>
      </c>
      <c r="F524" s="16" t="s">
        <v>8</v>
      </c>
      <c r="G524" s="38" t="str">
        <f>HYPERLINK("http://enext.ua/i0010026")</f>
        <v>http://enext.ua/i0010026</v>
      </c>
    </row>
    <row r="525" spans="2:7" ht="11.25" outlineLevel="5" x14ac:dyDescent="0.2">
      <c r="B525" s="14" t="s">
        <v>993</v>
      </c>
      <c r="C525" s="14" t="s">
        <v>994</v>
      </c>
      <c r="D525" s="14">
        <v>1</v>
      </c>
      <c r="E525" s="15">
        <v>628.82000000000005</v>
      </c>
      <c r="F525" s="16" t="s">
        <v>8</v>
      </c>
      <c r="G525" s="38" t="str">
        <f>HYPERLINK("http://enext.ua/i0010001")</f>
        <v>http://enext.ua/i0010001</v>
      </c>
    </row>
    <row r="526" spans="2:7" ht="11.25" outlineLevel="5" x14ac:dyDescent="0.2">
      <c r="B526" s="14" t="s">
        <v>995</v>
      </c>
      <c r="C526" s="14" t="s">
        <v>996</v>
      </c>
      <c r="D526" s="14">
        <v>1</v>
      </c>
      <c r="E526" s="15">
        <v>691.7</v>
      </c>
      <c r="F526" s="16" t="s">
        <v>8</v>
      </c>
      <c r="G526" s="38" t="str">
        <f>HYPERLINK("http://enext.ua/i0010002")</f>
        <v>http://enext.ua/i0010002</v>
      </c>
    </row>
    <row r="527" spans="2:7" ht="11.25" outlineLevel="5" x14ac:dyDescent="0.2">
      <c r="B527" s="14" t="s">
        <v>997</v>
      </c>
      <c r="C527" s="14" t="s">
        <v>998</v>
      </c>
      <c r="D527" s="14">
        <v>1</v>
      </c>
      <c r="E527" s="15">
        <v>779.23</v>
      </c>
      <c r="F527" s="16" t="s">
        <v>8</v>
      </c>
      <c r="G527" s="38" t="str">
        <f>HYPERLINK("http://enext.ua/i0010003")</f>
        <v>http://enext.ua/i0010003</v>
      </c>
    </row>
    <row r="528" spans="2:7" ht="11.25" outlineLevel="5" x14ac:dyDescent="0.2">
      <c r="B528" s="14" t="s">
        <v>999</v>
      </c>
      <c r="C528" s="14" t="s">
        <v>1000</v>
      </c>
      <c r="D528" s="14">
        <v>1</v>
      </c>
      <c r="E528" s="15">
        <v>836.36</v>
      </c>
      <c r="F528" s="16" t="s">
        <v>8</v>
      </c>
      <c r="G528" s="38" t="str">
        <f>HYPERLINK("http://enext.ua/i0010004")</f>
        <v>http://enext.ua/i0010004</v>
      </c>
    </row>
    <row r="529" spans="2:7" ht="11.25" outlineLevel="5" x14ac:dyDescent="0.2">
      <c r="B529" s="14" t="s">
        <v>1001</v>
      </c>
      <c r="C529" s="14" t="s">
        <v>1002</v>
      </c>
      <c r="D529" s="14">
        <v>1</v>
      </c>
      <c r="E529" s="17">
        <v>1178.33</v>
      </c>
      <c r="F529" s="16" t="s">
        <v>8</v>
      </c>
      <c r="G529" s="38" t="str">
        <f>HYPERLINK("http://enext.ua/i0010020")</f>
        <v>http://enext.ua/i0010020</v>
      </c>
    </row>
    <row r="530" spans="2:7" ht="11.25" outlineLevel="5" x14ac:dyDescent="0.2">
      <c r="B530" s="14" t="s">
        <v>1003</v>
      </c>
      <c r="C530" s="14" t="s">
        <v>1004</v>
      </c>
      <c r="D530" s="14">
        <v>1</v>
      </c>
      <c r="E530" s="17">
        <v>1236.3599999999999</v>
      </c>
      <c r="F530" s="16" t="s">
        <v>8</v>
      </c>
      <c r="G530" s="38" t="str">
        <f>HYPERLINK("http://enext.ua/i0010021")</f>
        <v>http://enext.ua/i0010021</v>
      </c>
    </row>
    <row r="531" spans="2:7" ht="11.25" outlineLevel="5" x14ac:dyDescent="0.2">
      <c r="B531" s="14" t="s">
        <v>1005</v>
      </c>
      <c r="C531" s="14" t="s">
        <v>1006</v>
      </c>
      <c r="D531" s="14">
        <v>1</v>
      </c>
      <c r="E531" s="17">
        <v>1236.3599999999999</v>
      </c>
      <c r="F531" s="16" t="s">
        <v>8</v>
      </c>
      <c r="G531" s="38" t="str">
        <f>HYPERLINK("http://enext.ua/i0010022")</f>
        <v>http://enext.ua/i0010022</v>
      </c>
    </row>
    <row r="532" spans="2:7" ht="11.25" outlineLevel="5" x14ac:dyDescent="0.2">
      <c r="B532" s="14" t="s">
        <v>1007</v>
      </c>
      <c r="C532" s="14" t="s">
        <v>1008</v>
      </c>
      <c r="D532" s="14">
        <v>1</v>
      </c>
      <c r="E532" s="17">
        <v>1236.3599999999999</v>
      </c>
      <c r="F532" s="16" t="s">
        <v>8</v>
      </c>
      <c r="G532" s="38" t="str">
        <f>HYPERLINK("http://enext.ua/i0010005")</f>
        <v>http://enext.ua/i0010005</v>
      </c>
    </row>
    <row r="533" spans="2:7" ht="11.25" outlineLevel="5" x14ac:dyDescent="0.2">
      <c r="B533" s="14" t="s">
        <v>1009</v>
      </c>
      <c r="C533" s="14" t="s">
        <v>1010</v>
      </c>
      <c r="D533" s="14">
        <v>1</v>
      </c>
      <c r="E533" s="17">
        <v>1236.3599999999999</v>
      </c>
      <c r="F533" s="16" t="s">
        <v>8</v>
      </c>
      <c r="G533" s="38" t="str">
        <f>HYPERLINK("http://enext.ua/i0010006")</f>
        <v>http://enext.ua/i0010006</v>
      </c>
    </row>
    <row r="534" spans="2:7" ht="11.25" outlineLevel="5" x14ac:dyDescent="0.2">
      <c r="B534" s="14" t="s">
        <v>1011</v>
      </c>
      <c r="C534" s="14" t="s">
        <v>1012</v>
      </c>
      <c r="D534" s="14">
        <v>1</v>
      </c>
      <c r="E534" s="17">
        <v>2109.09</v>
      </c>
      <c r="F534" s="16" t="s">
        <v>8</v>
      </c>
      <c r="G534" s="38" t="str">
        <f>HYPERLINK("http://enext.ua/i0010017")</f>
        <v>http://enext.ua/i0010017</v>
      </c>
    </row>
    <row r="535" spans="2:7" ht="11.25" outlineLevel="5" x14ac:dyDescent="0.2">
      <c r="B535" s="14" t="s">
        <v>1013</v>
      </c>
      <c r="C535" s="14" t="s">
        <v>1014</v>
      </c>
      <c r="D535" s="14">
        <v>1</v>
      </c>
      <c r="E535" s="17">
        <v>2109.09</v>
      </c>
      <c r="F535" s="16" t="s">
        <v>8</v>
      </c>
      <c r="G535" s="38" t="str">
        <f>HYPERLINK("http://enext.ua/i0010018")</f>
        <v>http://enext.ua/i0010018</v>
      </c>
    </row>
    <row r="536" spans="2:7" ht="11.25" outlineLevel="5" x14ac:dyDescent="0.2">
      <c r="B536" s="14" t="s">
        <v>1015</v>
      </c>
      <c r="C536" s="14" t="s">
        <v>1016</v>
      </c>
      <c r="D536" s="14">
        <v>1</v>
      </c>
      <c r="E536" s="17">
        <v>2109.09</v>
      </c>
      <c r="F536" s="16" t="s">
        <v>8</v>
      </c>
      <c r="G536" s="38" t="str">
        <f>HYPERLINK("http://enext.ua/i0010007")</f>
        <v>http://enext.ua/i0010007</v>
      </c>
    </row>
    <row r="537" spans="2:7" ht="11.25" outlineLevel="5" x14ac:dyDescent="0.2">
      <c r="B537" s="14" t="s">
        <v>1017</v>
      </c>
      <c r="C537" s="14" t="s">
        <v>1018</v>
      </c>
      <c r="D537" s="14">
        <v>1</v>
      </c>
      <c r="E537" s="17">
        <v>2109.09</v>
      </c>
      <c r="F537" s="16" t="s">
        <v>8</v>
      </c>
      <c r="G537" s="38" t="str">
        <f>HYPERLINK("http://enext.ua/i0010013")</f>
        <v>http://enext.ua/i0010013</v>
      </c>
    </row>
    <row r="538" spans="2:7" ht="11.25" outlineLevel="5" x14ac:dyDescent="0.2">
      <c r="B538" s="14" t="s">
        <v>1019</v>
      </c>
      <c r="C538" s="14" t="s">
        <v>1020</v>
      </c>
      <c r="D538" s="14">
        <v>1</v>
      </c>
      <c r="E538" s="17">
        <v>2109.09</v>
      </c>
      <c r="F538" s="16" t="s">
        <v>8</v>
      </c>
      <c r="G538" s="38" t="str">
        <f>HYPERLINK("http://enext.ua/i0010008")</f>
        <v>http://enext.ua/i0010008</v>
      </c>
    </row>
    <row r="539" spans="2:7" ht="11.25" outlineLevel="5" x14ac:dyDescent="0.2">
      <c r="B539" s="14" t="s">
        <v>1021</v>
      </c>
      <c r="C539" s="14" t="s">
        <v>1022</v>
      </c>
      <c r="D539" s="14">
        <v>1</v>
      </c>
      <c r="E539" s="17">
        <v>2109.09</v>
      </c>
      <c r="F539" s="16" t="s">
        <v>8</v>
      </c>
      <c r="G539" s="38" t="str">
        <f>HYPERLINK("http://enext.ua/i0010019")</f>
        <v>http://enext.ua/i0010019</v>
      </c>
    </row>
    <row r="540" spans="2:7" ht="11.25" outlineLevel="5" x14ac:dyDescent="0.2">
      <c r="B540" s="14" t="s">
        <v>1023</v>
      </c>
      <c r="C540" s="14" t="s">
        <v>1024</v>
      </c>
      <c r="D540" s="14">
        <v>1</v>
      </c>
      <c r="E540" s="17">
        <v>2109.09</v>
      </c>
      <c r="F540" s="16" t="s">
        <v>8</v>
      </c>
      <c r="G540" s="38" t="str">
        <f>HYPERLINK("http://enext.ua/i0010009")</f>
        <v>http://enext.ua/i0010009</v>
      </c>
    </row>
    <row r="541" spans="2:7" ht="11.25" outlineLevel="5" x14ac:dyDescent="0.2">
      <c r="B541" s="14" t="s">
        <v>1025</v>
      </c>
      <c r="C541" s="14" t="s">
        <v>1026</v>
      </c>
      <c r="D541" s="14">
        <v>1</v>
      </c>
      <c r="E541" s="17">
        <v>4727.2700000000004</v>
      </c>
      <c r="F541" s="16" t="s">
        <v>8</v>
      </c>
      <c r="G541" s="38" t="str">
        <f>HYPERLINK("http://enext.ua/i0010027")</f>
        <v>http://enext.ua/i0010027</v>
      </c>
    </row>
    <row r="542" spans="2:7" ht="11.25" outlineLevel="5" x14ac:dyDescent="0.2">
      <c r="B542" s="14" t="s">
        <v>1027</v>
      </c>
      <c r="C542" s="14" t="s">
        <v>1028</v>
      </c>
      <c r="D542" s="14">
        <v>1</v>
      </c>
      <c r="E542" s="17">
        <v>4727.2700000000004</v>
      </c>
      <c r="F542" s="16" t="s">
        <v>8</v>
      </c>
      <c r="G542" s="14"/>
    </row>
    <row r="543" spans="2:7" ht="11.25" outlineLevel="5" x14ac:dyDescent="0.2">
      <c r="B543" s="14" t="s">
        <v>1029</v>
      </c>
      <c r="C543" s="14" t="s">
        <v>1030</v>
      </c>
      <c r="D543" s="14">
        <v>1</v>
      </c>
      <c r="E543" s="17">
        <v>4727.2700000000004</v>
      </c>
      <c r="F543" s="16" t="s">
        <v>8</v>
      </c>
      <c r="G543" s="38" t="str">
        <f>HYPERLINK("http://enext.ua/i0010010")</f>
        <v>http://enext.ua/i0010010</v>
      </c>
    </row>
    <row r="544" spans="2:7" ht="11.25" outlineLevel="5" x14ac:dyDescent="0.2">
      <c r="B544" s="14" t="s">
        <v>1031</v>
      </c>
      <c r="C544" s="14" t="s">
        <v>1032</v>
      </c>
      <c r="D544" s="14">
        <v>1</v>
      </c>
      <c r="E544" s="17">
        <v>8363.64</v>
      </c>
      <c r="F544" s="16" t="s">
        <v>8</v>
      </c>
      <c r="G544" s="38" t="str">
        <f>HYPERLINK("http://enext.ua/i0010028")</f>
        <v>http://enext.ua/i0010028</v>
      </c>
    </row>
    <row r="545" spans="2:7" ht="11.25" outlineLevel="5" x14ac:dyDescent="0.2">
      <c r="B545" s="14" t="s">
        <v>1033</v>
      </c>
      <c r="C545" s="14" t="s">
        <v>1034</v>
      </c>
      <c r="D545" s="14">
        <v>1</v>
      </c>
      <c r="E545" s="17">
        <v>8363.64</v>
      </c>
      <c r="F545" s="16" t="s">
        <v>8</v>
      </c>
      <c r="G545" s="38" t="str">
        <f>HYPERLINK("http://enext.ua/i0010011")</f>
        <v>http://enext.ua/i0010011</v>
      </c>
    </row>
    <row r="546" spans="2:7" ht="11.25" outlineLevel="5" x14ac:dyDescent="0.2">
      <c r="B546" s="14" t="s">
        <v>1035</v>
      </c>
      <c r="C546" s="14" t="s">
        <v>1036</v>
      </c>
      <c r="D546" s="14">
        <v>1</v>
      </c>
      <c r="E546" s="17">
        <v>9454.5499999999993</v>
      </c>
      <c r="F546" s="16" t="s">
        <v>8</v>
      </c>
      <c r="G546" s="38" t="str">
        <f>HYPERLINK("http://enext.ua/i0010029")</f>
        <v>http://enext.ua/i0010029</v>
      </c>
    </row>
    <row r="547" spans="2:7" ht="11.25" outlineLevel="5" x14ac:dyDescent="0.2">
      <c r="B547" s="14" t="s">
        <v>1037</v>
      </c>
      <c r="C547" s="14" t="s">
        <v>1038</v>
      </c>
      <c r="D547" s="14">
        <v>1</v>
      </c>
      <c r="E547" s="17">
        <v>9454.5499999999993</v>
      </c>
      <c r="F547" s="16" t="s">
        <v>8</v>
      </c>
      <c r="G547" s="38" t="str">
        <f>HYPERLINK("http://enext.ua/i0010012")</f>
        <v>http://enext.ua/i0010012</v>
      </c>
    </row>
    <row r="548" spans="2:7" ht="11.25" outlineLevel="5" x14ac:dyDescent="0.2">
      <c r="B548" s="14" t="s">
        <v>1039</v>
      </c>
      <c r="C548" s="14" t="s">
        <v>1040</v>
      </c>
      <c r="D548" s="14">
        <v>1</v>
      </c>
      <c r="E548" s="17">
        <v>25798.67</v>
      </c>
      <c r="F548" s="16" t="s">
        <v>8</v>
      </c>
      <c r="G548" s="38" t="str">
        <f>HYPERLINK("http://enext.ua/i0010023")</f>
        <v>http://enext.ua/i0010023</v>
      </c>
    </row>
    <row r="549" spans="2:7" ht="11.25" outlineLevel="5" x14ac:dyDescent="0.2">
      <c r="B549" s="14" t="s">
        <v>1041</v>
      </c>
      <c r="C549" s="14" t="s">
        <v>1042</v>
      </c>
      <c r="D549" s="14">
        <v>1</v>
      </c>
      <c r="E549" s="17">
        <v>27897.86</v>
      </c>
      <c r="F549" s="16" t="s">
        <v>8</v>
      </c>
      <c r="G549" s="38" t="str">
        <f>HYPERLINK("http://enext.ua/i0010024")</f>
        <v>http://enext.ua/i0010024</v>
      </c>
    </row>
    <row r="550" spans="2:7" ht="11.25" outlineLevel="5" x14ac:dyDescent="0.2">
      <c r="B550" s="14" t="s">
        <v>1043</v>
      </c>
      <c r="C550" s="14" t="s">
        <v>1044</v>
      </c>
      <c r="D550" s="14">
        <v>1</v>
      </c>
      <c r="E550" s="17">
        <v>34126.019999999997</v>
      </c>
      <c r="F550" s="16" t="s">
        <v>8</v>
      </c>
      <c r="G550" s="38" t="str">
        <f>HYPERLINK("http://enext.ua/i0010025")</f>
        <v>http://enext.ua/i0010025</v>
      </c>
    </row>
    <row r="551" spans="2:7" ht="11.25" outlineLevel="5" x14ac:dyDescent="0.2">
      <c r="B551" s="14" t="s">
        <v>1045</v>
      </c>
      <c r="C551" s="14" t="s">
        <v>1046</v>
      </c>
      <c r="D551" s="14">
        <v>1</v>
      </c>
      <c r="E551" s="17">
        <v>38419.89</v>
      </c>
      <c r="F551" s="16" t="s">
        <v>8</v>
      </c>
      <c r="G551" s="38" t="str">
        <f>HYPERLINK("http://enext.ua/i0010030")</f>
        <v>http://enext.ua/i0010030</v>
      </c>
    </row>
    <row r="552" spans="2:7" ht="11.25" outlineLevel="5" x14ac:dyDescent="0.2">
      <c r="B552" s="14" t="s">
        <v>1047</v>
      </c>
      <c r="C552" s="14" t="s">
        <v>1048</v>
      </c>
      <c r="D552" s="14">
        <v>1</v>
      </c>
      <c r="E552" s="17">
        <v>71371.5</v>
      </c>
      <c r="F552" s="16" t="s">
        <v>8</v>
      </c>
      <c r="G552" s="38" t="str">
        <f>HYPERLINK("http://enext.ua/i0010031")</f>
        <v>http://enext.ua/i0010031</v>
      </c>
    </row>
    <row r="553" spans="2:7" ht="12" outlineLevel="4" x14ac:dyDescent="0.2">
      <c r="B553" s="12"/>
      <c r="C553" s="37" t="s">
        <v>1049</v>
      </c>
      <c r="D553" s="12"/>
      <c r="E553" s="13"/>
      <c r="F553" s="13"/>
      <c r="G553" s="12"/>
    </row>
    <row r="554" spans="2:7" ht="11.25" outlineLevel="5" x14ac:dyDescent="0.2">
      <c r="B554" s="14" t="s">
        <v>1050</v>
      </c>
      <c r="C554" s="14" t="s">
        <v>1051</v>
      </c>
      <c r="D554" s="14">
        <v>1</v>
      </c>
      <c r="E554" s="15">
        <v>299.48</v>
      </c>
      <c r="F554" s="16" t="s">
        <v>8</v>
      </c>
      <c r="G554" s="38" t="str">
        <f>HYPERLINK("http://enext.ua/i0020001")</f>
        <v>http://enext.ua/i0020001</v>
      </c>
    </row>
    <row r="555" spans="2:7" ht="11.25" outlineLevel="5" x14ac:dyDescent="0.2">
      <c r="B555" s="14" t="s">
        <v>1052</v>
      </c>
      <c r="C555" s="14" t="s">
        <v>1053</v>
      </c>
      <c r="D555" s="14">
        <v>1</v>
      </c>
      <c r="E555" s="15">
        <v>606.92999999999995</v>
      </c>
      <c r="F555" s="16" t="s">
        <v>8</v>
      </c>
      <c r="G555" s="38" t="str">
        <f>HYPERLINK("http://enext.ua/i0060001")</f>
        <v>http://enext.ua/i0060001</v>
      </c>
    </row>
    <row r="556" spans="2:7" ht="11.25" outlineLevel="5" x14ac:dyDescent="0.2">
      <c r="B556" s="14" t="s">
        <v>1054</v>
      </c>
      <c r="C556" s="14" t="s">
        <v>1055</v>
      </c>
      <c r="D556" s="14">
        <v>1</v>
      </c>
      <c r="E556" s="15">
        <v>299.48</v>
      </c>
      <c r="F556" s="16" t="s">
        <v>8</v>
      </c>
      <c r="G556" s="38" t="str">
        <f>HYPERLINK("http://enext.ua/i0030001")</f>
        <v>http://enext.ua/i0030001</v>
      </c>
    </row>
    <row r="557" spans="2:7" ht="11.25" outlineLevel="5" x14ac:dyDescent="0.2">
      <c r="B557" s="14" t="s">
        <v>1056</v>
      </c>
      <c r="C557" s="14" t="s">
        <v>1057</v>
      </c>
      <c r="D557" s="14">
        <v>1</v>
      </c>
      <c r="E557" s="15">
        <v>660</v>
      </c>
      <c r="F557" s="16" t="s">
        <v>8</v>
      </c>
      <c r="G557" s="38" t="str">
        <f>HYPERLINK("http://enext.ua/i0070004")</f>
        <v>http://enext.ua/i0070004</v>
      </c>
    </row>
    <row r="558" spans="2:7" ht="11.25" outlineLevel="5" x14ac:dyDescent="0.2">
      <c r="B558" s="14" t="s">
        <v>1058</v>
      </c>
      <c r="C558" s="14" t="s">
        <v>1059</v>
      </c>
      <c r="D558" s="14">
        <v>1</v>
      </c>
      <c r="E558" s="15">
        <v>814.87</v>
      </c>
      <c r="F558" s="16" t="s">
        <v>8</v>
      </c>
      <c r="G558" s="38" t="str">
        <f>HYPERLINK("http://enext.ua/i0040001")</f>
        <v>http://enext.ua/i0040001</v>
      </c>
    </row>
    <row r="559" spans="2:7" ht="11.25" outlineLevel="5" x14ac:dyDescent="0.2">
      <c r="B559" s="14" t="s">
        <v>1060</v>
      </c>
      <c r="C559" s="14" t="s">
        <v>1061</v>
      </c>
      <c r="D559" s="14">
        <v>1</v>
      </c>
      <c r="E559" s="15">
        <v>339.9</v>
      </c>
      <c r="F559" s="16" t="s">
        <v>8</v>
      </c>
      <c r="G559" s="38" t="str">
        <f>HYPERLINK("http://enext.ua/i0020002")</f>
        <v>http://enext.ua/i0020002</v>
      </c>
    </row>
    <row r="560" spans="2:7" ht="11.25" outlineLevel="5" x14ac:dyDescent="0.2">
      <c r="B560" s="14" t="s">
        <v>1062</v>
      </c>
      <c r="C560" s="14" t="s">
        <v>1063</v>
      </c>
      <c r="D560" s="14">
        <v>1</v>
      </c>
      <c r="E560" s="15">
        <v>606.92999999999995</v>
      </c>
      <c r="F560" s="16" t="s">
        <v>8</v>
      </c>
      <c r="G560" s="38" t="str">
        <f>HYPERLINK("http://enext.ua/i0060002")</f>
        <v>http://enext.ua/i0060002</v>
      </c>
    </row>
    <row r="561" spans="2:7" ht="11.25" outlineLevel="5" x14ac:dyDescent="0.2">
      <c r="B561" s="14" t="s">
        <v>1064</v>
      </c>
      <c r="C561" s="14" t="s">
        <v>1065</v>
      </c>
      <c r="D561" s="14">
        <v>1</v>
      </c>
      <c r="E561" s="15">
        <v>339.9</v>
      </c>
      <c r="F561" s="16" t="s">
        <v>8</v>
      </c>
      <c r="G561" s="38" t="str">
        <f>HYPERLINK("http://enext.ua/i0030002")</f>
        <v>http://enext.ua/i0030002</v>
      </c>
    </row>
    <row r="562" spans="2:7" ht="11.25" outlineLevel="5" x14ac:dyDescent="0.2">
      <c r="B562" s="14" t="s">
        <v>1066</v>
      </c>
      <c r="C562" s="14" t="s">
        <v>1067</v>
      </c>
      <c r="D562" s="14">
        <v>1</v>
      </c>
      <c r="E562" s="15">
        <v>763.13</v>
      </c>
      <c r="F562" s="16" t="s">
        <v>8</v>
      </c>
      <c r="G562" s="38" t="str">
        <f>HYPERLINK("http://enext.ua/i0070001")</f>
        <v>http://enext.ua/i0070001</v>
      </c>
    </row>
    <row r="563" spans="2:7" ht="11.25" outlineLevel="5" x14ac:dyDescent="0.2">
      <c r="B563" s="14" t="s">
        <v>1068</v>
      </c>
      <c r="C563" s="14" t="s">
        <v>1069</v>
      </c>
      <c r="D563" s="14">
        <v>1</v>
      </c>
      <c r="E563" s="17">
        <v>3135</v>
      </c>
      <c r="F563" s="16" t="s">
        <v>8</v>
      </c>
      <c r="G563" s="38" t="str">
        <f>HYPERLINK("http://enext.ua/i0090001")</f>
        <v>http://enext.ua/i0090001</v>
      </c>
    </row>
    <row r="564" spans="2:7" ht="11.25" outlineLevel="5" x14ac:dyDescent="0.2">
      <c r="B564" s="14" t="s">
        <v>1070</v>
      </c>
      <c r="C564" s="14" t="s">
        <v>1071</v>
      </c>
      <c r="D564" s="14">
        <v>1</v>
      </c>
      <c r="E564" s="17">
        <v>7006.45</v>
      </c>
      <c r="F564" s="16" t="s">
        <v>8</v>
      </c>
      <c r="G564" s="38" t="str">
        <f>HYPERLINK("http://enext.ua/i0080001")</f>
        <v>http://enext.ua/i0080001</v>
      </c>
    </row>
    <row r="565" spans="2:7" ht="11.25" outlineLevel="5" x14ac:dyDescent="0.2">
      <c r="B565" s="14" t="s">
        <v>1072</v>
      </c>
      <c r="C565" s="14" t="s">
        <v>1073</v>
      </c>
      <c r="D565" s="14">
        <v>1</v>
      </c>
      <c r="E565" s="15">
        <v>890.35</v>
      </c>
      <c r="F565" s="16" t="s">
        <v>8</v>
      </c>
      <c r="G565" s="38" t="str">
        <f>HYPERLINK("http://enext.ua/i0040002")</f>
        <v>http://enext.ua/i0040002</v>
      </c>
    </row>
    <row r="566" spans="2:7" ht="11.25" outlineLevel="5" x14ac:dyDescent="0.2">
      <c r="B566" s="14" t="s">
        <v>1074</v>
      </c>
      <c r="C566" s="14" t="s">
        <v>1075</v>
      </c>
      <c r="D566" s="14">
        <v>1</v>
      </c>
      <c r="E566" s="15">
        <v>4.4000000000000004</v>
      </c>
      <c r="F566" s="16" t="s">
        <v>8</v>
      </c>
      <c r="G566" s="38" t="str">
        <f>HYPERLINK("http://enext.ua/i0780001")</f>
        <v>http://enext.ua/i0780001</v>
      </c>
    </row>
    <row r="567" spans="2:7" ht="11.25" outlineLevel="5" x14ac:dyDescent="0.2">
      <c r="B567" s="14" t="s">
        <v>1076</v>
      </c>
      <c r="C567" s="14" t="s">
        <v>1077</v>
      </c>
      <c r="D567" s="14">
        <v>1</v>
      </c>
      <c r="E567" s="15">
        <v>264.5</v>
      </c>
      <c r="F567" s="16" t="s">
        <v>1078</v>
      </c>
      <c r="G567" s="38" t="str">
        <f>HYPERLINK("http://enext.ua/i0050003")</f>
        <v>http://enext.ua/i0050003</v>
      </c>
    </row>
    <row r="568" spans="2:7" ht="11.25" outlineLevel="5" x14ac:dyDescent="0.2">
      <c r="B568" s="14" t="s">
        <v>1079</v>
      </c>
      <c r="C568" s="14" t="s">
        <v>1080</v>
      </c>
      <c r="D568" s="14">
        <v>1</v>
      </c>
      <c r="E568" s="15">
        <v>543.4</v>
      </c>
      <c r="F568" s="16" t="s">
        <v>8</v>
      </c>
      <c r="G568" s="38" t="str">
        <f>HYPERLINK("http://enext.ua/i0020003")</f>
        <v>http://enext.ua/i0020003</v>
      </c>
    </row>
    <row r="569" spans="2:7" ht="11.25" outlineLevel="5" x14ac:dyDescent="0.2">
      <c r="B569" s="14" t="s">
        <v>1081</v>
      </c>
      <c r="C569" s="14" t="s">
        <v>1082</v>
      </c>
      <c r="D569" s="14">
        <v>1</v>
      </c>
      <c r="E569" s="15">
        <v>672.1</v>
      </c>
      <c r="F569" s="16" t="s">
        <v>8</v>
      </c>
      <c r="G569" s="38" t="str">
        <f>HYPERLINK("http://enext.ua/i0060003")</f>
        <v>http://enext.ua/i0060003</v>
      </c>
    </row>
    <row r="570" spans="2:7" ht="11.25" outlineLevel="5" x14ac:dyDescent="0.2">
      <c r="B570" s="14" t="s">
        <v>1083</v>
      </c>
      <c r="C570" s="14" t="s">
        <v>1084</v>
      </c>
      <c r="D570" s="14">
        <v>1</v>
      </c>
      <c r="E570" s="15">
        <v>381.43</v>
      </c>
      <c r="F570" s="16" t="s">
        <v>8</v>
      </c>
      <c r="G570" s="38" t="str">
        <f>HYPERLINK("http://enext.ua/i0030003")</f>
        <v>http://enext.ua/i0030003</v>
      </c>
    </row>
    <row r="571" spans="2:7" ht="11.25" outlineLevel="5" x14ac:dyDescent="0.2">
      <c r="B571" s="14" t="s">
        <v>1085</v>
      </c>
      <c r="C571" s="14" t="s">
        <v>1086</v>
      </c>
      <c r="D571" s="14">
        <v>1</v>
      </c>
      <c r="E571" s="15">
        <v>851.13</v>
      </c>
      <c r="F571" s="16" t="s">
        <v>8</v>
      </c>
      <c r="G571" s="38" t="str">
        <f>HYPERLINK("http://enext.ua/i0070002")</f>
        <v>http://enext.ua/i0070002</v>
      </c>
    </row>
    <row r="572" spans="2:7" ht="11.25" outlineLevel="5" x14ac:dyDescent="0.2">
      <c r="B572" s="14" t="s">
        <v>1087</v>
      </c>
      <c r="C572" s="14" t="s">
        <v>1088</v>
      </c>
      <c r="D572" s="14">
        <v>1</v>
      </c>
      <c r="E572" s="17">
        <v>8262.65</v>
      </c>
      <c r="F572" s="16" t="s">
        <v>8</v>
      </c>
      <c r="G572" s="38" t="str">
        <f>HYPERLINK("http://enext.ua/i0090002")</f>
        <v>http://enext.ua/i0090002</v>
      </c>
    </row>
    <row r="573" spans="2:7" ht="11.25" outlineLevel="5" x14ac:dyDescent="0.2">
      <c r="B573" s="14" t="s">
        <v>1089</v>
      </c>
      <c r="C573" s="14" t="s">
        <v>1090</v>
      </c>
      <c r="D573" s="14">
        <v>1</v>
      </c>
      <c r="E573" s="17">
        <v>9081.0499999999993</v>
      </c>
      <c r="F573" s="16" t="s">
        <v>8</v>
      </c>
      <c r="G573" s="38" t="str">
        <f>HYPERLINK("http://enext.ua/i0080002")</f>
        <v>http://enext.ua/i0080002</v>
      </c>
    </row>
    <row r="574" spans="2:7" ht="11.25" outlineLevel="5" x14ac:dyDescent="0.2">
      <c r="B574" s="14" t="s">
        <v>1091</v>
      </c>
      <c r="C574" s="14" t="s">
        <v>1092</v>
      </c>
      <c r="D574" s="14">
        <v>1</v>
      </c>
      <c r="E574" s="15">
        <v>977.67</v>
      </c>
      <c r="F574" s="16" t="s">
        <v>8</v>
      </c>
      <c r="G574" s="38" t="str">
        <f>HYPERLINK("http://enext.ua/i0040003")</f>
        <v>http://enext.ua/i0040003</v>
      </c>
    </row>
    <row r="575" spans="2:7" ht="11.25" outlineLevel="5" x14ac:dyDescent="0.2">
      <c r="B575" s="14" t="s">
        <v>1093</v>
      </c>
      <c r="C575" s="14" t="s">
        <v>1094</v>
      </c>
      <c r="D575" s="14">
        <v>1</v>
      </c>
      <c r="E575" s="15">
        <v>9.08</v>
      </c>
      <c r="F575" s="16" t="s">
        <v>8</v>
      </c>
      <c r="G575" s="38" t="str">
        <f>HYPERLINK("http://enext.ua/i0780002")</f>
        <v>http://enext.ua/i0780002</v>
      </c>
    </row>
    <row r="576" spans="2:7" ht="11.25" outlineLevel="5" x14ac:dyDescent="0.2">
      <c r="B576" s="14" t="s">
        <v>1095</v>
      </c>
      <c r="C576" s="14" t="s">
        <v>1096</v>
      </c>
      <c r="D576" s="14">
        <v>1</v>
      </c>
      <c r="E576" s="15">
        <v>333.51</v>
      </c>
      <c r="F576" s="16" t="s">
        <v>1078</v>
      </c>
      <c r="G576" s="38" t="str">
        <f>HYPERLINK("http://enext.ua/i0050002")</f>
        <v>http://enext.ua/i0050002</v>
      </c>
    </row>
    <row r="577" spans="2:7" ht="11.25" outlineLevel="5" x14ac:dyDescent="0.2">
      <c r="B577" s="14" t="s">
        <v>1097</v>
      </c>
      <c r="C577" s="14" t="s">
        <v>1098</v>
      </c>
      <c r="D577" s="14">
        <v>1</v>
      </c>
      <c r="E577" s="15">
        <v>881.1</v>
      </c>
      <c r="F577" s="16" t="s">
        <v>8</v>
      </c>
      <c r="G577" s="38" t="str">
        <f>HYPERLINK("http://enext.ua/i0060004")</f>
        <v>http://enext.ua/i0060004</v>
      </c>
    </row>
    <row r="578" spans="2:7" ht="11.25" outlineLevel="5" x14ac:dyDescent="0.2">
      <c r="B578" s="14" t="s">
        <v>1099</v>
      </c>
      <c r="C578" s="14" t="s">
        <v>1100</v>
      </c>
      <c r="D578" s="14">
        <v>1</v>
      </c>
      <c r="E578" s="17">
        <v>12211.65</v>
      </c>
      <c r="F578" s="16" t="s">
        <v>8</v>
      </c>
      <c r="G578" s="38" t="str">
        <f>HYPERLINK("http://enext.ua/i0080003")</f>
        <v>http://enext.ua/i0080003</v>
      </c>
    </row>
    <row r="579" spans="2:7" ht="11.25" outlineLevel="5" x14ac:dyDescent="0.2">
      <c r="B579" s="14" t="s">
        <v>1101</v>
      </c>
      <c r="C579" s="14" t="s">
        <v>1102</v>
      </c>
      <c r="D579" s="14">
        <v>1</v>
      </c>
      <c r="E579" s="15">
        <v>702.63</v>
      </c>
      <c r="F579" s="16" t="s">
        <v>8</v>
      </c>
      <c r="G579" s="38" t="str">
        <f>HYPERLINK("http://enext.ua/i0020004")</f>
        <v>http://enext.ua/i0020004</v>
      </c>
    </row>
    <row r="580" spans="2:7" ht="11.25" outlineLevel="5" x14ac:dyDescent="0.2">
      <c r="B580" s="14" t="s">
        <v>1103</v>
      </c>
      <c r="C580" s="14" t="s">
        <v>1104</v>
      </c>
      <c r="D580" s="14">
        <v>1</v>
      </c>
      <c r="E580" s="15">
        <v>434.5</v>
      </c>
      <c r="F580" s="16" t="s">
        <v>8</v>
      </c>
      <c r="G580" s="38" t="str">
        <f>HYPERLINK("http://enext.ua/i0030004")</f>
        <v>http://enext.ua/i0030004</v>
      </c>
    </row>
    <row r="581" spans="2:7" ht="11.25" outlineLevel="5" x14ac:dyDescent="0.2">
      <c r="B581" s="14" t="s">
        <v>1105</v>
      </c>
      <c r="C581" s="14" t="s">
        <v>1106</v>
      </c>
      <c r="D581" s="14">
        <v>1</v>
      </c>
      <c r="E581" s="17">
        <v>1613.43</v>
      </c>
      <c r="F581" s="16" t="s">
        <v>8</v>
      </c>
      <c r="G581" s="38" t="str">
        <f>HYPERLINK("http://enext.ua/i0070003")</f>
        <v>http://enext.ua/i0070003</v>
      </c>
    </row>
    <row r="582" spans="2:7" ht="11.25" outlineLevel="5" x14ac:dyDescent="0.2">
      <c r="B582" s="14" t="s">
        <v>1107</v>
      </c>
      <c r="C582" s="14" t="s">
        <v>1108</v>
      </c>
      <c r="D582" s="14">
        <v>1</v>
      </c>
      <c r="E582" s="17">
        <v>1303.27</v>
      </c>
      <c r="F582" s="16" t="s">
        <v>8</v>
      </c>
      <c r="G582" s="38" t="str">
        <f>HYPERLINK("http://enext.ua/i0040004")</f>
        <v>http://enext.ua/i0040004</v>
      </c>
    </row>
    <row r="583" spans="2:7" ht="11.25" outlineLevel="5" x14ac:dyDescent="0.2">
      <c r="B583" s="14" t="s">
        <v>1109</v>
      </c>
      <c r="C583" s="14" t="s">
        <v>1110</v>
      </c>
      <c r="D583" s="14">
        <v>1</v>
      </c>
      <c r="E583" s="17">
        <v>1424.42</v>
      </c>
      <c r="F583" s="16" t="s">
        <v>1111</v>
      </c>
      <c r="G583" s="38" t="str">
        <f>HYPERLINK("http://enext.ua/i0050004")</f>
        <v>http://enext.ua/i0050004</v>
      </c>
    </row>
    <row r="584" spans="2:7" ht="11.25" outlineLevel="5" x14ac:dyDescent="0.2">
      <c r="B584" s="14" t="s">
        <v>1112</v>
      </c>
      <c r="C584" s="14" t="s">
        <v>1113</v>
      </c>
      <c r="D584" s="14">
        <v>1</v>
      </c>
      <c r="E584" s="15">
        <v>994.13</v>
      </c>
      <c r="F584" s="16" t="s">
        <v>8</v>
      </c>
      <c r="G584" s="38" t="str">
        <f>HYPERLINK("http://enext.ua/i0060005")</f>
        <v>http://enext.ua/i0060005</v>
      </c>
    </row>
    <row r="585" spans="2:7" ht="11.25" outlineLevel="5" x14ac:dyDescent="0.2">
      <c r="B585" s="14" t="s">
        <v>1114</v>
      </c>
      <c r="C585" s="14" t="s">
        <v>1115</v>
      </c>
      <c r="D585" s="14">
        <v>1</v>
      </c>
      <c r="E585" s="17">
        <v>13768.15</v>
      </c>
      <c r="F585" s="16" t="s">
        <v>8</v>
      </c>
      <c r="G585" s="38" t="str">
        <f>HYPERLINK("http://enext.ua/i0080004")</f>
        <v>http://enext.ua/i0080004</v>
      </c>
    </row>
    <row r="586" spans="2:7" ht="11.25" outlineLevel="5" x14ac:dyDescent="0.2">
      <c r="B586" s="14" t="s">
        <v>1116</v>
      </c>
      <c r="C586" s="14" t="s">
        <v>1117</v>
      </c>
      <c r="D586" s="14">
        <v>1</v>
      </c>
      <c r="E586" s="17">
        <v>3512.97</v>
      </c>
      <c r="F586" s="16" t="s">
        <v>1111</v>
      </c>
      <c r="G586" s="38" t="str">
        <f>HYPERLINK("http://enext.ua/i0050005")</f>
        <v>http://enext.ua/i0050005</v>
      </c>
    </row>
    <row r="587" spans="2:7" ht="11.25" outlineLevel="5" x14ac:dyDescent="0.2">
      <c r="B587" s="14" t="s">
        <v>1118</v>
      </c>
      <c r="C587" s="14" t="s">
        <v>1119</v>
      </c>
      <c r="D587" s="14">
        <v>1</v>
      </c>
      <c r="E587" s="17">
        <v>4704</v>
      </c>
      <c r="F587" s="16" t="s">
        <v>1078</v>
      </c>
      <c r="G587" s="14"/>
    </row>
    <row r="588" spans="2:7" ht="11.25" outlineLevel="5" x14ac:dyDescent="0.2">
      <c r="B588" s="14" t="s">
        <v>1120</v>
      </c>
      <c r="C588" s="14" t="s">
        <v>1121</v>
      </c>
      <c r="D588" s="14">
        <v>1</v>
      </c>
      <c r="E588" s="15">
        <v>139.18</v>
      </c>
      <c r="F588" s="16" t="s">
        <v>8</v>
      </c>
      <c r="G588" s="38" t="str">
        <f>HYPERLINK("http://enext.ua/i0050001")</f>
        <v>http://enext.ua/i0050001</v>
      </c>
    </row>
    <row r="589" spans="2:7" ht="12" outlineLevel="3" x14ac:dyDescent="0.2">
      <c r="B589" s="10"/>
      <c r="C589" s="36" t="s">
        <v>1122</v>
      </c>
      <c r="D589" s="10"/>
      <c r="E589" s="11"/>
      <c r="F589" s="11"/>
      <c r="G589" s="10"/>
    </row>
    <row r="590" spans="2:7" ht="12" outlineLevel="4" x14ac:dyDescent="0.2">
      <c r="B590" s="12"/>
      <c r="C590" s="37" t="s">
        <v>1123</v>
      </c>
      <c r="D590" s="12"/>
      <c r="E590" s="13"/>
      <c r="F590" s="13"/>
      <c r="G590" s="12"/>
    </row>
    <row r="591" spans="2:7" ht="11.25" outlineLevel="5" x14ac:dyDescent="0.2">
      <c r="B591" s="14" t="s">
        <v>1124</v>
      </c>
      <c r="C591" s="14" t="s">
        <v>1125</v>
      </c>
      <c r="D591" s="14">
        <v>1</v>
      </c>
      <c r="E591" s="17">
        <v>1312</v>
      </c>
      <c r="F591" s="16" t="s">
        <v>8</v>
      </c>
      <c r="G591" s="38" t="str">
        <f>HYPERLINK("http://enext.ua/i0660024")</f>
        <v>http://enext.ua/i0660024</v>
      </c>
    </row>
    <row r="592" spans="2:7" ht="11.25" outlineLevel="5" x14ac:dyDescent="0.2">
      <c r="B592" s="14" t="s">
        <v>1126</v>
      </c>
      <c r="C592" s="14" t="s">
        <v>1127</v>
      </c>
      <c r="D592" s="14">
        <v>1</v>
      </c>
      <c r="E592" s="17">
        <v>1312</v>
      </c>
      <c r="F592" s="16" t="s">
        <v>8</v>
      </c>
      <c r="G592" s="38" t="str">
        <f>HYPERLINK("http://enext.ua/i0660011")</f>
        <v>http://enext.ua/i0660011</v>
      </c>
    </row>
    <row r="593" spans="2:7" ht="11.25" outlineLevel="5" x14ac:dyDescent="0.2">
      <c r="B593" s="14" t="s">
        <v>1128</v>
      </c>
      <c r="C593" s="14" t="s">
        <v>1129</v>
      </c>
      <c r="D593" s="14">
        <v>1</v>
      </c>
      <c r="E593" s="17">
        <v>1312</v>
      </c>
      <c r="F593" s="16" t="s">
        <v>8</v>
      </c>
      <c r="G593" s="38" t="str">
        <f>HYPERLINK("http://enext.ua/i0660012")</f>
        <v>http://enext.ua/i0660012</v>
      </c>
    </row>
    <row r="594" spans="2:7" ht="11.25" outlineLevel="5" x14ac:dyDescent="0.2">
      <c r="B594" s="14" t="s">
        <v>1130</v>
      </c>
      <c r="C594" s="14" t="s">
        <v>1131</v>
      </c>
      <c r="D594" s="14">
        <v>1</v>
      </c>
      <c r="E594" s="17">
        <v>1464.9</v>
      </c>
      <c r="F594" s="16" t="s">
        <v>8</v>
      </c>
      <c r="G594" s="38" t="str">
        <f>HYPERLINK("http://enext.ua/i0660001")</f>
        <v>http://enext.ua/i0660001</v>
      </c>
    </row>
    <row r="595" spans="2:7" ht="11.25" outlineLevel="5" x14ac:dyDescent="0.2">
      <c r="B595" s="14" t="s">
        <v>1132</v>
      </c>
      <c r="C595" s="14" t="s">
        <v>1133</v>
      </c>
      <c r="D595" s="14">
        <v>1</v>
      </c>
      <c r="E595" s="17">
        <v>1515</v>
      </c>
      <c r="F595" s="16" t="s">
        <v>8</v>
      </c>
      <c r="G595" s="38" t="str">
        <f>HYPERLINK("http://enext.ua/i0660013")</f>
        <v>http://enext.ua/i0660013</v>
      </c>
    </row>
    <row r="596" spans="2:7" ht="11.25" outlineLevel="5" x14ac:dyDescent="0.2">
      <c r="B596" s="14" t="s">
        <v>1134</v>
      </c>
      <c r="C596" s="14" t="s">
        <v>1135</v>
      </c>
      <c r="D596" s="14">
        <v>1</v>
      </c>
      <c r="E596" s="17">
        <v>1604.9</v>
      </c>
      <c r="F596" s="16" t="s">
        <v>8</v>
      </c>
      <c r="G596" s="38" t="str">
        <f>HYPERLINK("http://enext.ua/i0660002")</f>
        <v>http://enext.ua/i0660002</v>
      </c>
    </row>
    <row r="597" spans="2:7" ht="11.25" outlineLevel="5" x14ac:dyDescent="0.2">
      <c r="B597" s="14" t="s">
        <v>1136</v>
      </c>
      <c r="C597" s="14" t="s">
        <v>1137</v>
      </c>
      <c r="D597" s="14">
        <v>1</v>
      </c>
      <c r="E597" s="17">
        <v>2044.6</v>
      </c>
      <c r="F597" s="16" t="s">
        <v>8</v>
      </c>
      <c r="G597" s="38" t="str">
        <f>HYPERLINK("http://enext.ua/i0660017")</f>
        <v>http://enext.ua/i0660017</v>
      </c>
    </row>
    <row r="598" spans="2:7" ht="11.25" outlineLevel="5" x14ac:dyDescent="0.2">
      <c r="B598" s="14" t="s">
        <v>1138</v>
      </c>
      <c r="C598" s="14" t="s">
        <v>1139</v>
      </c>
      <c r="D598" s="14">
        <v>1</v>
      </c>
      <c r="E598" s="17">
        <v>2338.1</v>
      </c>
      <c r="F598" s="16" t="s">
        <v>8</v>
      </c>
      <c r="G598" s="38" t="str">
        <f>HYPERLINK("http://enext.ua/i0660014")</f>
        <v>http://enext.ua/i0660014</v>
      </c>
    </row>
    <row r="599" spans="2:7" ht="11.25" outlineLevel="5" x14ac:dyDescent="0.2">
      <c r="B599" s="14" t="s">
        <v>1140</v>
      </c>
      <c r="C599" s="14" t="s">
        <v>1141</v>
      </c>
      <c r="D599" s="14">
        <v>1</v>
      </c>
      <c r="E599" s="17">
        <v>2044.6</v>
      </c>
      <c r="F599" s="16" t="s">
        <v>8</v>
      </c>
      <c r="G599" s="38" t="str">
        <f>HYPERLINK("http://enext.ua/i0660003")</f>
        <v>http://enext.ua/i0660003</v>
      </c>
    </row>
    <row r="600" spans="2:7" ht="11.25" outlineLevel="5" x14ac:dyDescent="0.2">
      <c r="B600" s="14" t="s">
        <v>1142</v>
      </c>
      <c r="C600" s="14" t="s">
        <v>1143</v>
      </c>
      <c r="D600" s="14">
        <v>1</v>
      </c>
      <c r="E600" s="17">
        <v>2304.96</v>
      </c>
      <c r="F600" s="16" t="s">
        <v>8</v>
      </c>
      <c r="G600" s="38" t="str">
        <f>HYPERLINK("http://enext.ua/i0660015")</f>
        <v>http://enext.ua/i0660015</v>
      </c>
    </row>
    <row r="601" spans="2:7" ht="11.25" outlineLevel="5" x14ac:dyDescent="0.2">
      <c r="B601" s="14" t="s">
        <v>1144</v>
      </c>
      <c r="C601" s="14" t="s">
        <v>1145</v>
      </c>
      <c r="D601" s="14">
        <v>1</v>
      </c>
      <c r="E601" s="17">
        <v>2341.9</v>
      </c>
      <c r="F601" s="16" t="s">
        <v>8</v>
      </c>
      <c r="G601" s="38" t="str">
        <f>HYPERLINK("http://enext.ua/i0660016")</f>
        <v>http://enext.ua/i0660016</v>
      </c>
    </row>
    <row r="602" spans="2:7" ht="11.25" outlineLevel="5" x14ac:dyDescent="0.2">
      <c r="B602" s="14" t="s">
        <v>1146</v>
      </c>
      <c r="C602" s="14" t="s">
        <v>1147</v>
      </c>
      <c r="D602" s="14">
        <v>1</v>
      </c>
      <c r="E602" s="17">
        <v>2393.1799999999998</v>
      </c>
      <c r="F602" s="16" t="s">
        <v>8</v>
      </c>
      <c r="G602" s="38" t="str">
        <f>HYPERLINK("http://enext.ua/i0660018")</f>
        <v>http://enext.ua/i0660018</v>
      </c>
    </row>
    <row r="603" spans="2:7" ht="11.25" outlineLevel="5" x14ac:dyDescent="0.2">
      <c r="B603" s="14" t="s">
        <v>1148</v>
      </c>
      <c r="C603" s="14" t="s">
        <v>1149</v>
      </c>
      <c r="D603" s="14">
        <v>1</v>
      </c>
      <c r="E603" s="17">
        <v>2691.2</v>
      </c>
      <c r="F603" s="16" t="s">
        <v>8</v>
      </c>
      <c r="G603" s="38" t="str">
        <f>HYPERLINK("http://enext.ua/i0660004")</f>
        <v>http://enext.ua/i0660004</v>
      </c>
    </row>
    <row r="604" spans="2:7" ht="11.25" outlineLevel="5" x14ac:dyDescent="0.2">
      <c r="B604" s="14" t="s">
        <v>1150</v>
      </c>
      <c r="C604" s="14" t="s">
        <v>1151</v>
      </c>
      <c r="D604" s="14">
        <v>1</v>
      </c>
      <c r="E604" s="17">
        <v>6374.5</v>
      </c>
      <c r="F604" s="16" t="s">
        <v>8</v>
      </c>
      <c r="G604" s="38" t="str">
        <f>HYPERLINK("http://enext.ua/i0660025")</f>
        <v>http://enext.ua/i0660025</v>
      </c>
    </row>
    <row r="605" spans="2:7" ht="11.25" outlineLevel="5" x14ac:dyDescent="0.2">
      <c r="B605" s="14" t="s">
        <v>1152</v>
      </c>
      <c r="C605" s="14" t="s">
        <v>1153</v>
      </c>
      <c r="D605" s="14">
        <v>1</v>
      </c>
      <c r="E605" s="17">
        <v>5940</v>
      </c>
      <c r="F605" s="16" t="s">
        <v>8</v>
      </c>
      <c r="G605" s="38" t="str">
        <f>HYPERLINK("http://enext.ua/i0660020")</f>
        <v>http://enext.ua/i0660020</v>
      </c>
    </row>
    <row r="606" spans="2:7" ht="11.25" outlineLevel="5" x14ac:dyDescent="0.2">
      <c r="B606" s="14" t="s">
        <v>1154</v>
      </c>
      <c r="C606" s="14" t="s">
        <v>1155</v>
      </c>
      <c r="D606" s="14">
        <v>1</v>
      </c>
      <c r="E606" s="17">
        <v>10027.799999999999</v>
      </c>
      <c r="F606" s="16" t="s">
        <v>8</v>
      </c>
      <c r="G606" s="38" t="str">
        <f>HYPERLINK("http://enext.ua/i0660021")</f>
        <v>http://enext.ua/i0660021</v>
      </c>
    </row>
    <row r="607" spans="2:7" ht="11.25" outlineLevel="5" x14ac:dyDescent="0.2">
      <c r="B607" s="14" t="s">
        <v>1156</v>
      </c>
      <c r="C607" s="14" t="s">
        <v>1157</v>
      </c>
      <c r="D607" s="14">
        <v>1</v>
      </c>
      <c r="E607" s="17">
        <v>11287.2</v>
      </c>
      <c r="F607" s="16" t="s">
        <v>8</v>
      </c>
      <c r="G607" s="38" t="str">
        <f>HYPERLINK("http://enext.ua/i0660022")</f>
        <v>http://enext.ua/i0660022</v>
      </c>
    </row>
    <row r="608" spans="2:7" ht="12" outlineLevel="4" x14ac:dyDescent="0.2">
      <c r="B608" s="12"/>
      <c r="C608" s="37" t="s">
        <v>1158</v>
      </c>
      <c r="D608" s="12"/>
      <c r="E608" s="13"/>
      <c r="F608" s="13"/>
      <c r="G608" s="12"/>
    </row>
    <row r="609" spans="2:7" ht="11.25" outlineLevel="5" x14ac:dyDescent="0.2">
      <c r="B609" s="14" t="s">
        <v>1159</v>
      </c>
      <c r="C609" s="14" t="s">
        <v>1160</v>
      </c>
      <c r="D609" s="14">
        <v>1</v>
      </c>
      <c r="E609" s="15">
        <v>781.82</v>
      </c>
      <c r="F609" s="16" t="s">
        <v>8</v>
      </c>
      <c r="G609" s="38" t="str">
        <f>HYPERLINK("http://enext.ua/i0650004")</f>
        <v>http://enext.ua/i0650004</v>
      </c>
    </row>
    <row r="610" spans="2:7" ht="11.25" outlineLevel="5" x14ac:dyDescent="0.2">
      <c r="B610" s="14" t="s">
        <v>1161</v>
      </c>
      <c r="C610" s="14" t="s">
        <v>1162</v>
      </c>
      <c r="D610" s="14">
        <v>1</v>
      </c>
      <c r="E610" s="15">
        <v>781.82</v>
      </c>
      <c r="F610" s="16" t="s">
        <v>8</v>
      </c>
      <c r="G610" s="38" t="str">
        <f>HYPERLINK("http://enext.ua/i0650005")</f>
        <v>http://enext.ua/i0650005</v>
      </c>
    </row>
    <row r="611" spans="2:7" ht="11.25" outlineLevel="5" x14ac:dyDescent="0.2">
      <c r="B611" s="14" t="s">
        <v>1163</v>
      </c>
      <c r="C611" s="14" t="s">
        <v>1164</v>
      </c>
      <c r="D611" s="14">
        <v>1</v>
      </c>
      <c r="E611" s="15">
        <v>781.82</v>
      </c>
      <c r="F611" s="16" t="s">
        <v>8</v>
      </c>
      <c r="G611" s="38" t="str">
        <f>HYPERLINK("http://enext.ua/i0650007")</f>
        <v>http://enext.ua/i0650007</v>
      </c>
    </row>
    <row r="612" spans="2:7" ht="11.25" outlineLevel="5" x14ac:dyDescent="0.2">
      <c r="B612" s="14" t="s">
        <v>1165</v>
      </c>
      <c r="C612" s="14" t="s">
        <v>1166</v>
      </c>
      <c r="D612" s="14">
        <v>1</v>
      </c>
      <c r="E612" s="15">
        <v>781.82</v>
      </c>
      <c r="F612" s="16" t="s">
        <v>8</v>
      </c>
      <c r="G612" s="38" t="str">
        <f>HYPERLINK("http://enext.ua/i0650019")</f>
        <v>http://enext.ua/i0650019</v>
      </c>
    </row>
    <row r="613" spans="2:7" ht="11.25" outlineLevel="5" x14ac:dyDescent="0.2">
      <c r="B613" s="14" t="s">
        <v>1167</v>
      </c>
      <c r="C613" s="14" t="s">
        <v>1168</v>
      </c>
      <c r="D613" s="14">
        <v>1</v>
      </c>
      <c r="E613" s="15">
        <v>949.09</v>
      </c>
      <c r="F613" s="16" t="s">
        <v>8</v>
      </c>
      <c r="G613" s="38" t="str">
        <f>HYPERLINK("http://enext.ua/i0650008")</f>
        <v>http://enext.ua/i0650008</v>
      </c>
    </row>
    <row r="614" spans="2:7" ht="11.25" outlineLevel="5" x14ac:dyDescent="0.2">
      <c r="B614" s="14" t="s">
        <v>1169</v>
      </c>
      <c r="C614" s="14" t="s">
        <v>1170</v>
      </c>
      <c r="D614" s="14">
        <v>1</v>
      </c>
      <c r="E614" s="17">
        <v>1500</v>
      </c>
      <c r="F614" s="16" t="s">
        <v>8</v>
      </c>
      <c r="G614" s="38" t="str">
        <f>HYPERLINK("http://enext.ua/i0650014")</f>
        <v>http://enext.ua/i0650014</v>
      </c>
    </row>
    <row r="615" spans="2:7" ht="11.25" outlineLevel="5" x14ac:dyDescent="0.2">
      <c r="B615" s="14" t="s">
        <v>1171</v>
      </c>
      <c r="C615" s="14" t="s">
        <v>1172</v>
      </c>
      <c r="D615" s="14">
        <v>1</v>
      </c>
      <c r="E615" s="17">
        <v>1500</v>
      </c>
      <c r="F615" s="16" t="s">
        <v>8</v>
      </c>
      <c r="G615" s="38" t="str">
        <f>HYPERLINK("http://enext.ua/i0650015")</f>
        <v>http://enext.ua/i0650015</v>
      </c>
    </row>
    <row r="616" spans="2:7" ht="12" outlineLevel="4" x14ac:dyDescent="0.2">
      <c r="B616" s="12"/>
      <c r="C616" s="37" t="s">
        <v>1173</v>
      </c>
      <c r="D616" s="12"/>
      <c r="E616" s="13"/>
      <c r="F616" s="13"/>
      <c r="G616" s="12"/>
    </row>
    <row r="617" spans="2:7" ht="11.25" outlineLevel="5" x14ac:dyDescent="0.2">
      <c r="B617" s="14" t="s">
        <v>1174</v>
      </c>
      <c r="C617" s="14" t="s">
        <v>1175</v>
      </c>
      <c r="D617" s="14">
        <v>1</v>
      </c>
      <c r="E617" s="15">
        <v>125.4</v>
      </c>
      <c r="F617" s="16" t="s">
        <v>8</v>
      </c>
      <c r="G617" s="38" t="str">
        <f>HYPERLINK("http://enext.ua/i0690001")</f>
        <v>http://enext.ua/i0690001</v>
      </c>
    </row>
    <row r="618" spans="2:7" ht="11.25" outlineLevel="5" x14ac:dyDescent="0.2">
      <c r="B618" s="14" t="s">
        <v>1176</v>
      </c>
      <c r="C618" s="14" t="s">
        <v>1177</v>
      </c>
      <c r="D618" s="14">
        <v>1</v>
      </c>
      <c r="E618" s="15">
        <v>526.63</v>
      </c>
      <c r="F618" s="16" t="s">
        <v>8</v>
      </c>
      <c r="G618" s="38" t="str">
        <f>HYPERLINK("http://enext.ua/i0750001")</f>
        <v>http://enext.ua/i0750001</v>
      </c>
    </row>
    <row r="619" spans="2:7" ht="11.25" outlineLevel="5" x14ac:dyDescent="0.2">
      <c r="B619" s="14" t="s">
        <v>1178</v>
      </c>
      <c r="C619" s="14" t="s">
        <v>1179</v>
      </c>
      <c r="D619" s="14">
        <v>1</v>
      </c>
      <c r="E619" s="15">
        <v>125.4</v>
      </c>
      <c r="F619" s="16" t="s">
        <v>8</v>
      </c>
      <c r="G619" s="38" t="str">
        <f>HYPERLINK("http://enext.ua/i0670001")</f>
        <v>http://enext.ua/i0670001</v>
      </c>
    </row>
    <row r="620" spans="2:7" ht="11.25" outlineLevel="5" x14ac:dyDescent="0.2">
      <c r="B620" s="14" t="s">
        <v>1180</v>
      </c>
      <c r="C620" s="14" t="s">
        <v>1181</v>
      </c>
      <c r="D620" s="14">
        <v>1</v>
      </c>
      <c r="E620" s="15">
        <v>125.4</v>
      </c>
      <c r="F620" s="16" t="s">
        <v>8</v>
      </c>
      <c r="G620" s="38" t="str">
        <f>HYPERLINK("http://enext.ua/i0680001")</f>
        <v>http://enext.ua/i0680001</v>
      </c>
    </row>
    <row r="621" spans="2:7" ht="11.25" outlineLevel="5" x14ac:dyDescent="0.2">
      <c r="B621" s="14" t="s">
        <v>1182</v>
      </c>
      <c r="C621" s="14" t="s">
        <v>1183</v>
      </c>
      <c r="D621" s="14">
        <v>1</v>
      </c>
      <c r="E621" s="15">
        <v>188.38</v>
      </c>
      <c r="F621" s="16" t="s">
        <v>8</v>
      </c>
      <c r="G621" s="38" t="str">
        <f>HYPERLINK("http://enext.ua/i0700001")</f>
        <v>http://enext.ua/i0700001</v>
      </c>
    </row>
    <row r="622" spans="2:7" ht="11.25" outlineLevel="5" x14ac:dyDescent="0.2">
      <c r="B622" s="14" t="s">
        <v>1184</v>
      </c>
      <c r="C622" s="14" t="s">
        <v>1185</v>
      </c>
      <c r="D622" s="14">
        <v>1</v>
      </c>
      <c r="E622" s="17">
        <v>1161.05</v>
      </c>
      <c r="F622" s="16" t="s">
        <v>8</v>
      </c>
      <c r="G622" s="38" t="str">
        <f>HYPERLINK("http://enext.ua/i0740001")</f>
        <v>http://enext.ua/i0740001</v>
      </c>
    </row>
    <row r="623" spans="2:7" ht="11.25" outlineLevel="5" x14ac:dyDescent="0.2">
      <c r="B623" s="14" t="s">
        <v>1186</v>
      </c>
      <c r="C623" s="14" t="s">
        <v>1187</v>
      </c>
      <c r="D623" s="14">
        <v>1</v>
      </c>
      <c r="E623" s="15">
        <v>845.9</v>
      </c>
      <c r="F623" s="16" t="s">
        <v>8</v>
      </c>
      <c r="G623" s="38" t="str">
        <f>HYPERLINK("http://enext.ua/i0710001")</f>
        <v>http://enext.ua/i0710001</v>
      </c>
    </row>
    <row r="624" spans="2:7" ht="11.25" outlineLevel="5" x14ac:dyDescent="0.2">
      <c r="B624" s="14" t="s">
        <v>1188</v>
      </c>
      <c r="C624" s="14" t="s">
        <v>1189</v>
      </c>
      <c r="D624" s="14">
        <v>1</v>
      </c>
      <c r="E624" s="15">
        <v>127.88</v>
      </c>
      <c r="F624" s="16" t="s">
        <v>8</v>
      </c>
      <c r="G624" s="38" t="str">
        <f>HYPERLINK("http://enext.ua/i0690002")</f>
        <v>http://enext.ua/i0690002</v>
      </c>
    </row>
    <row r="625" spans="2:7" ht="11.25" outlineLevel="5" x14ac:dyDescent="0.2">
      <c r="B625" s="14" t="s">
        <v>1190</v>
      </c>
      <c r="C625" s="14" t="s">
        <v>1191</v>
      </c>
      <c r="D625" s="14">
        <v>1</v>
      </c>
      <c r="E625" s="15">
        <v>529.1</v>
      </c>
      <c r="F625" s="16" t="s">
        <v>8</v>
      </c>
      <c r="G625" s="38" t="str">
        <f>HYPERLINK("http://enext.ua/i0750002")</f>
        <v>http://enext.ua/i0750002</v>
      </c>
    </row>
    <row r="626" spans="2:7" ht="11.25" outlineLevel="5" x14ac:dyDescent="0.2">
      <c r="B626" s="14" t="s">
        <v>1192</v>
      </c>
      <c r="C626" s="14" t="s">
        <v>1193</v>
      </c>
      <c r="D626" s="14">
        <v>1</v>
      </c>
      <c r="E626" s="15">
        <v>127.88</v>
      </c>
      <c r="F626" s="16" t="s">
        <v>8</v>
      </c>
      <c r="G626" s="38" t="str">
        <f>HYPERLINK("http://enext.ua/i0670002")</f>
        <v>http://enext.ua/i0670002</v>
      </c>
    </row>
    <row r="627" spans="2:7" ht="11.25" outlineLevel="5" x14ac:dyDescent="0.2">
      <c r="B627" s="14" t="s">
        <v>1194</v>
      </c>
      <c r="C627" s="14" t="s">
        <v>1195</v>
      </c>
      <c r="D627" s="14">
        <v>1</v>
      </c>
      <c r="E627" s="15">
        <v>191.13</v>
      </c>
      <c r="F627" s="16" t="s">
        <v>8</v>
      </c>
      <c r="G627" s="38" t="str">
        <f>HYPERLINK("http://enext.ua/i0700002")</f>
        <v>http://enext.ua/i0700002</v>
      </c>
    </row>
    <row r="628" spans="2:7" ht="11.25" outlineLevel="5" x14ac:dyDescent="0.2">
      <c r="B628" s="14" t="s">
        <v>1196</v>
      </c>
      <c r="C628" s="14" t="s">
        <v>1197</v>
      </c>
      <c r="D628" s="14">
        <v>1</v>
      </c>
      <c r="E628" s="17">
        <v>2443.65</v>
      </c>
      <c r="F628" s="16" t="s">
        <v>8</v>
      </c>
      <c r="G628" s="38" t="str">
        <f>HYPERLINK("http://enext.ua/i0720001")</f>
        <v>http://enext.ua/i0720001</v>
      </c>
    </row>
    <row r="629" spans="2:7" ht="11.25" outlineLevel="5" x14ac:dyDescent="0.2">
      <c r="B629" s="14" t="s">
        <v>1198</v>
      </c>
      <c r="C629" s="14" t="s">
        <v>1199</v>
      </c>
      <c r="D629" s="14">
        <v>1</v>
      </c>
      <c r="E629" s="17">
        <v>1163.53</v>
      </c>
      <c r="F629" s="16" t="s">
        <v>8</v>
      </c>
      <c r="G629" s="38" t="str">
        <f>HYPERLINK("http://enext.ua/i0740002")</f>
        <v>http://enext.ua/i0740002</v>
      </c>
    </row>
    <row r="630" spans="2:7" ht="11.25" outlineLevel="5" x14ac:dyDescent="0.2">
      <c r="B630" s="14" t="s">
        <v>1200</v>
      </c>
      <c r="C630" s="14" t="s">
        <v>1201</v>
      </c>
      <c r="D630" s="14">
        <v>1</v>
      </c>
      <c r="E630" s="15">
        <v>848.38</v>
      </c>
      <c r="F630" s="16" t="s">
        <v>8</v>
      </c>
      <c r="G630" s="38" t="str">
        <f>HYPERLINK("http://enext.ua/i0710002")</f>
        <v>http://enext.ua/i0710002</v>
      </c>
    </row>
    <row r="631" spans="2:7" ht="11.25" outlineLevel="5" x14ac:dyDescent="0.2">
      <c r="B631" s="14" t="s">
        <v>1202</v>
      </c>
      <c r="C631" s="14" t="s">
        <v>1203</v>
      </c>
      <c r="D631" s="14">
        <v>1</v>
      </c>
      <c r="E631" s="15">
        <v>130.63</v>
      </c>
      <c r="F631" s="16" t="s">
        <v>8</v>
      </c>
      <c r="G631" s="38" t="str">
        <f>HYPERLINK("http://enext.ua/i0690003")</f>
        <v>http://enext.ua/i0690003</v>
      </c>
    </row>
    <row r="632" spans="2:7" ht="11.25" outlineLevel="5" x14ac:dyDescent="0.2">
      <c r="B632" s="14" t="s">
        <v>1204</v>
      </c>
      <c r="C632" s="14" t="s">
        <v>1205</v>
      </c>
      <c r="D632" s="14">
        <v>1</v>
      </c>
      <c r="E632" s="15">
        <v>677.6</v>
      </c>
      <c r="F632" s="16" t="s">
        <v>8</v>
      </c>
      <c r="G632" s="38" t="str">
        <f>HYPERLINK("http://enext.ua/i0750003")</f>
        <v>http://enext.ua/i0750003</v>
      </c>
    </row>
    <row r="633" spans="2:7" ht="11.25" outlineLevel="5" x14ac:dyDescent="0.2">
      <c r="B633" s="14" t="s">
        <v>1206</v>
      </c>
      <c r="C633" s="14" t="s">
        <v>1207</v>
      </c>
      <c r="D633" s="14">
        <v>1</v>
      </c>
      <c r="E633" s="15">
        <v>130.63</v>
      </c>
      <c r="F633" s="16" t="s">
        <v>8</v>
      </c>
      <c r="G633" s="38" t="str">
        <f>HYPERLINK("http://enext.ua/i0670003")</f>
        <v>http://enext.ua/i0670003</v>
      </c>
    </row>
    <row r="634" spans="2:7" ht="11.25" outlineLevel="5" x14ac:dyDescent="0.2">
      <c r="B634" s="14" t="s">
        <v>1208</v>
      </c>
      <c r="C634" s="14" t="s">
        <v>1209</v>
      </c>
      <c r="D634" s="14">
        <v>1</v>
      </c>
      <c r="E634" s="15">
        <v>130.63</v>
      </c>
      <c r="F634" s="16" t="s">
        <v>8</v>
      </c>
      <c r="G634" s="38" t="str">
        <f>HYPERLINK("http://enext.ua/i0680003")</f>
        <v>http://enext.ua/i0680003</v>
      </c>
    </row>
    <row r="635" spans="2:7" ht="11.25" outlineLevel="5" x14ac:dyDescent="0.2">
      <c r="B635" s="14" t="s">
        <v>1210</v>
      </c>
      <c r="C635" s="14" t="s">
        <v>1211</v>
      </c>
      <c r="D635" s="14">
        <v>1</v>
      </c>
      <c r="E635" s="15">
        <v>193.6</v>
      </c>
      <c r="F635" s="16" t="s">
        <v>8</v>
      </c>
      <c r="G635" s="38" t="str">
        <f>HYPERLINK("http://enext.ua/i0700003")</f>
        <v>http://enext.ua/i0700003</v>
      </c>
    </row>
    <row r="636" spans="2:7" ht="11.25" outlineLevel="5" x14ac:dyDescent="0.2">
      <c r="B636" s="14" t="s">
        <v>1212</v>
      </c>
      <c r="C636" s="14" t="s">
        <v>1213</v>
      </c>
      <c r="D636" s="14">
        <v>1</v>
      </c>
      <c r="E636" s="17">
        <v>2679.05</v>
      </c>
      <c r="F636" s="16" t="s">
        <v>8</v>
      </c>
      <c r="G636" s="38" t="str">
        <f>HYPERLINK("http://enext.ua/i0720002")</f>
        <v>http://enext.ua/i0720002</v>
      </c>
    </row>
    <row r="637" spans="2:7" ht="11.25" outlineLevel="5" x14ac:dyDescent="0.2">
      <c r="B637" s="14" t="s">
        <v>1214</v>
      </c>
      <c r="C637" s="14" t="s">
        <v>1215</v>
      </c>
      <c r="D637" s="14">
        <v>1</v>
      </c>
      <c r="E637" s="17">
        <v>1373.08</v>
      </c>
      <c r="F637" s="16" t="s">
        <v>8</v>
      </c>
      <c r="G637" s="38" t="str">
        <f>HYPERLINK("http://enext.ua/i0740003")</f>
        <v>http://enext.ua/i0740003</v>
      </c>
    </row>
    <row r="638" spans="2:7" ht="11.25" outlineLevel="5" x14ac:dyDescent="0.2">
      <c r="B638" s="14" t="s">
        <v>1216</v>
      </c>
      <c r="C638" s="14" t="s">
        <v>1217</v>
      </c>
      <c r="D638" s="14">
        <v>1</v>
      </c>
      <c r="E638" s="15">
        <v>851.13</v>
      </c>
      <c r="F638" s="16" t="s">
        <v>8</v>
      </c>
      <c r="G638" s="38" t="str">
        <f>HYPERLINK("http://enext.ua/i0710003")</f>
        <v>http://enext.ua/i0710003</v>
      </c>
    </row>
    <row r="639" spans="2:7" ht="11.25" outlineLevel="5" x14ac:dyDescent="0.2">
      <c r="B639" s="14" t="s">
        <v>1218</v>
      </c>
      <c r="C639" s="14" t="s">
        <v>1219</v>
      </c>
      <c r="D639" s="14">
        <v>1</v>
      </c>
      <c r="E639" s="15">
        <v>277.48</v>
      </c>
      <c r="F639" s="16" t="s">
        <v>8</v>
      </c>
      <c r="G639" s="38" t="str">
        <f>HYPERLINK("http://enext.ua/i0690004")</f>
        <v>http://enext.ua/i0690004</v>
      </c>
    </row>
    <row r="640" spans="2:7" ht="11.25" outlineLevel="5" x14ac:dyDescent="0.2">
      <c r="B640" s="14" t="s">
        <v>1220</v>
      </c>
      <c r="C640" s="14" t="s">
        <v>1221</v>
      </c>
      <c r="D640" s="14">
        <v>1</v>
      </c>
      <c r="E640" s="15">
        <v>893.48</v>
      </c>
      <c r="F640" s="16" t="s">
        <v>8</v>
      </c>
      <c r="G640" s="38" t="str">
        <f>HYPERLINK("http://enext.ua/i0750004")</f>
        <v>http://enext.ua/i0750004</v>
      </c>
    </row>
    <row r="641" spans="2:7" ht="11.25" outlineLevel="5" x14ac:dyDescent="0.2">
      <c r="B641" s="14" t="s">
        <v>1222</v>
      </c>
      <c r="C641" s="14" t="s">
        <v>1223</v>
      </c>
      <c r="D641" s="14">
        <v>1</v>
      </c>
      <c r="E641" s="15">
        <v>277.48</v>
      </c>
      <c r="F641" s="16" t="s">
        <v>8</v>
      </c>
      <c r="G641" s="38" t="str">
        <f>HYPERLINK("http://enext.ua/i0670004")</f>
        <v>http://enext.ua/i0670004</v>
      </c>
    </row>
    <row r="642" spans="2:7" ht="11.25" outlineLevel="5" x14ac:dyDescent="0.2">
      <c r="B642" s="14" t="s">
        <v>1224</v>
      </c>
      <c r="C642" s="14" t="s">
        <v>1225</v>
      </c>
      <c r="D642" s="14">
        <v>1</v>
      </c>
      <c r="E642" s="15">
        <v>277.48</v>
      </c>
      <c r="F642" s="16" t="s">
        <v>8</v>
      </c>
      <c r="G642" s="38" t="str">
        <f>HYPERLINK("http://enext.ua/i0680004")</f>
        <v>http://enext.ua/i0680004</v>
      </c>
    </row>
    <row r="643" spans="2:7" ht="11.25" outlineLevel="5" x14ac:dyDescent="0.2">
      <c r="B643" s="14" t="s">
        <v>1226</v>
      </c>
      <c r="C643" s="14" t="s">
        <v>1227</v>
      </c>
      <c r="D643" s="14">
        <v>1</v>
      </c>
      <c r="E643" s="15">
        <v>743.05</v>
      </c>
      <c r="F643" s="16" t="s">
        <v>8</v>
      </c>
      <c r="G643" s="38" t="str">
        <f>HYPERLINK("http://enext.ua/i0700004")</f>
        <v>http://enext.ua/i0700004</v>
      </c>
    </row>
    <row r="644" spans="2:7" ht="11.25" outlineLevel="5" x14ac:dyDescent="0.2">
      <c r="B644" s="14" t="s">
        <v>1228</v>
      </c>
      <c r="C644" s="14" t="s">
        <v>1229</v>
      </c>
      <c r="D644" s="14">
        <v>1</v>
      </c>
      <c r="E644" s="17">
        <v>10525.08</v>
      </c>
      <c r="F644" s="16" t="s">
        <v>8</v>
      </c>
      <c r="G644" s="38" t="str">
        <f>HYPERLINK("http://enext.ua/i0730001")</f>
        <v>http://enext.ua/i0730001</v>
      </c>
    </row>
    <row r="645" spans="2:7" ht="11.25" outlineLevel="5" x14ac:dyDescent="0.2">
      <c r="B645" s="14" t="s">
        <v>1230</v>
      </c>
      <c r="C645" s="14" t="s">
        <v>1231</v>
      </c>
      <c r="D645" s="14">
        <v>1</v>
      </c>
      <c r="E645" s="17">
        <v>1588.13</v>
      </c>
      <c r="F645" s="16" t="s">
        <v>8</v>
      </c>
      <c r="G645" s="38" t="str">
        <f>HYPERLINK("http://enext.ua/i0740004")</f>
        <v>http://enext.ua/i0740004</v>
      </c>
    </row>
    <row r="646" spans="2:7" ht="11.25" outlineLevel="5" x14ac:dyDescent="0.2">
      <c r="B646" s="14" t="s">
        <v>1232</v>
      </c>
      <c r="C646" s="14" t="s">
        <v>1233</v>
      </c>
      <c r="D646" s="14">
        <v>1</v>
      </c>
      <c r="E646" s="17">
        <v>1382.15</v>
      </c>
      <c r="F646" s="16" t="s">
        <v>8</v>
      </c>
      <c r="G646" s="38" t="str">
        <f>HYPERLINK("http://enext.ua/i0710004")</f>
        <v>http://enext.ua/i0710004</v>
      </c>
    </row>
    <row r="647" spans="2:7" ht="12" outlineLevel="3" x14ac:dyDescent="0.2">
      <c r="B647" s="10"/>
      <c r="C647" s="36" t="s">
        <v>1234</v>
      </c>
      <c r="D647" s="10"/>
      <c r="E647" s="11"/>
      <c r="F647" s="11"/>
      <c r="G647" s="10"/>
    </row>
    <row r="648" spans="2:7" ht="12" outlineLevel="4" x14ac:dyDescent="0.2">
      <c r="B648" s="12"/>
      <c r="C648" s="37" t="s">
        <v>1235</v>
      </c>
      <c r="D648" s="12"/>
      <c r="E648" s="13"/>
      <c r="F648" s="13"/>
      <c r="G648" s="12"/>
    </row>
    <row r="649" spans="2:7" ht="22.5" outlineLevel="5" x14ac:dyDescent="0.2">
      <c r="B649" s="14" t="s">
        <v>1236</v>
      </c>
      <c r="C649" s="14" t="s">
        <v>1237</v>
      </c>
      <c r="D649" s="14">
        <v>1</v>
      </c>
      <c r="E649" s="17">
        <v>5208.5</v>
      </c>
      <c r="F649" s="16" t="s">
        <v>8</v>
      </c>
      <c r="G649" s="38" t="str">
        <f>HYPERLINK("http://enext.ua/i0770028")</f>
        <v>http://enext.ua/i0770028</v>
      </c>
    </row>
    <row r="650" spans="2:7" ht="22.5" outlineLevel="5" x14ac:dyDescent="0.2">
      <c r="B650" s="14" t="s">
        <v>1238</v>
      </c>
      <c r="C650" s="14" t="s">
        <v>1239</v>
      </c>
      <c r="D650" s="14">
        <v>1</v>
      </c>
      <c r="E650" s="17">
        <v>6487.81</v>
      </c>
      <c r="F650" s="16" t="s">
        <v>8</v>
      </c>
      <c r="G650" s="38" t="str">
        <f>HYPERLINK("http://enext.ua/i0770029")</f>
        <v>http://enext.ua/i0770029</v>
      </c>
    </row>
    <row r="651" spans="2:7" ht="22.5" outlineLevel="5" x14ac:dyDescent="0.2">
      <c r="B651" s="14" t="s">
        <v>1240</v>
      </c>
      <c r="C651" s="14" t="s">
        <v>1241</v>
      </c>
      <c r="D651" s="14">
        <v>1</v>
      </c>
      <c r="E651" s="17">
        <v>9655.9599999999991</v>
      </c>
      <c r="F651" s="16" t="s">
        <v>8</v>
      </c>
      <c r="G651" s="38" t="str">
        <f>HYPERLINK("http://enext.ua/i0770030")</f>
        <v>http://enext.ua/i0770030</v>
      </c>
    </row>
    <row r="652" spans="2:7" ht="22.5" outlineLevel="5" x14ac:dyDescent="0.2">
      <c r="B652" s="14" t="s">
        <v>1242</v>
      </c>
      <c r="C652" s="14" t="s">
        <v>1243</v>
      </c>
      <c r="D652" s="14">
        <v>1</v>
      </c>
      <c r="E652" s="17">
        <v>8207.57</v>
      </c>
      <c r="F652" s="16" t="s">
        <v>8</v>
      </c>
      <c r="G652" s="38" t="str">
        <f>HYPERLINK("http://enext.ua/i0770023")</f>
        <v>http://enext.ua/i0770023</v>
      </c>
    </row>
    <row r="653" spans="2:7" ht="22.5" outlineLevel="5" x14ac:dyDescent="0.2">
      <c r="B653" s="14" t="s">
        <v>1244</v>
      </c>
      <c r="C653" s="14" t="s">
        <v>1245</v>
      </c>
      <c r="D653" s="14">
        <v>1</v>
      </c>
      <c r="E653" s="17">
        <v>13058.48</v>
      </c>
      <c r="F653" s="16" t="s">
        <v>8</v>
      </c>
      <c r="G653" s="38" t="str">
        <f>HYPERLINK("http://enext.ua/i0770024")</f>
        <v>http://enext.ua/i0770024</v>
      </c>
    </row>
    <row r="654" spans="2:7" ht="22.5" outlineLevel="5" x14ac:dyDescent="0.2">
      <c r="B654" s="14" t="s">
        <v>1246</v>
      </c>
      <c r="C654" s="14" t="s">
        <v>1247</v>
      </c>
      <c r="D654" s="14">
        <v>1</v>
      </c>
      <c r="E654" s="17">
        <v>13058.48</v>
      </c>
      <c r="F654" s="16" t="s">
        <v>8</v>
      </c>
      <c r="G654" s="38" t="str">
        <f>HYPERLINK("http://enext.ua/i0770025")</f>
        <v>http://enext.ua/i0770025</v>
      </c>
    </row>
    <row r="655" spans="2:7" ht="22.5" outlineLevel="5" x14ac:dyDescent="0.2">
      <c r="B655" s="14" t="s">
        <v>1248</v>
      </c>
      <c r="C655" s="14" t="s">
        <v>1249</v>
      </c>
      <c r="D655" s="14">
        <v>1</v>
      </c>
      <c r="E655" s="17">
        <v>35214.230000000003</v>
      </c>
      <c r="F655" s="16" t="s">
        <v>8</v>
      </c>
      <c r="G655" s="38" t="str">
        <f>HYPERLINK("http://enext.ua/i0770026")</f>
        <v>http://enext.ua/i0770026</v>
      </c>
    </row>
    <row r="656" spans="2:7" ht="22.5" outlineLevel="5" x14ac:dyDescent="0.2">
      <c r="B656" s="14" t="s">
        <v>1250</v>
      </c>
      <c r="C656" s="14" t="s">
        <v>1251</v>
      </c>
      <c r="D656" s="14">
        <v>1</v>
      </c>
      <c r="E656" s="17">
        <v>39258.46</v>
      </c>
      <c r="F656" s="16" t="s">
        <v>8</v>
      </c>
      <c r="G656" s="38" t="str">
        <f>HYPERLINK("http://enext.ua/i0770027")</f>
        <v>http://enext.ua/i0770027</v>
      </c>
    </row>
    <row r="657" spans="2:7" ht="12" outlineLevel="4" x14ac:dyDescent="0.2">
      <c r="B657" s="12"/>
      <c r="C657" s="37" t="s">
        <v>1252</v>
      </c>
      <c r="D657" s="12"/>
      <c r="E657" s="13"/>
      <c r="F657" s="13"/>
      <c r="G657" s="12"/>
    </row>
    <row r="658" spans="2:7" ht="11.25" outlineLevel="5" x14ac:dyDescent="0.2">
      <c r="B658" s="14" t="s">
        <v>1253</v>
      </c>
      <c r="C658" s="14" t="s">
        <v>1254</v>
      </c>
      <c r="D658" s="14">
        <v>8</v>
      </c>
      <c r="E658" s="15">
        <v>550.28</v>
      </c>
      <c r="F658" s="16" t="s">
        <v>8</v>
      </c>
      <c r="G658" s="14"/>
    </row>
    <row r="659" spans="2:7" ht="11.25" outlineLevel="5" x14ac:dyDescent="0.2">
      <c r="B659" s="14" t="s">
        <v>1255</v>
      </c>
      <c r="C659" s="14" t="s">
        <v>1256</v>
      </c>
      <c r="D659" s="14">
        <v>8</v>
      </c>
      <c r="E659" s="17">
        <v>1100.6199999999999</v>
      </c>
      <c r="F659" s="16" t="s">
        <v>8</v>
      </c>
      <c r="G659" s="14"/>
    </row>
    <row r="660" spans="2:7" ht="11.25" outlineLevel="5" x14ac:dyDescent="0.2">
      <c r="B660" s="14" t="s">
        <v>1257</v>
      </c>
      <c r="C660" s="14" t="s">
        <v>1258</v>
      </c>
      <c r="D660" s="14">
        <v>1</v>
      </c>
      <c r="E660" s="17">
        <v>12767.47</v>
      </c>
      <c r="F660" s="16" t="s">
        <v>8</v>
      </c>
      <c r="G660" s="14"/>
    </row>
    <row r="661" spans="2:7" ht="11.25" outlineLevel="5" x14ac:dyDescent="0.2">
      <c r="B661" s="14" t="s">
        <v>1259</v>
      </c>
      <c r="C661" s="14" t="s">
        <v>1260</v>
      </c>
      <c r="D661" s="14">
        <v>1</v>
      </c>
      <c r="E661" s="15">
        <v>343.5</v>
      </c>
      <c r="F661" s="16" t="s">
        <v>8</v>
      </c>
      <c r="G661" s="14"/>
    </row>
    <row r="662" spans="2:7" ht="11.25" outlineLevel="5" x14ac:dyDescent="0.2">
      <c r="B662" s="14" t="s">
        <v>1261</v>
      </c>
      <c r="C662" s="14" t="s">
        <v>1262</v>
      </c>
      <c r="D662" s="14">
        <v>1</v>
      </c>
      <c r="E662" s="17">
        <v>1074.4100000000001</v>
      </c>
      <c r="F662" s="16" t="s">
        <v>8</v>
      </c>
      <c r="G662" s="14"/>
    </row>
    <row r="663" spans="2:7" ht="11.25" outlineLevel="5" x14ac:dyDescent="0.2">
      <c r="B663" s="14" t="s">
        <v>1263</v>
      </c>
      <c r="C663" s="14" t="s">
        <v>1264</v>
      </c>
      <c r="D663" s="14">
        <v>1</v>
      </c>
      <c r="E663" s="17">
        <v>14044.24</v>
      </c>
      <c r="F663" s="16" t="s">
        <v>8</v>
      </c>
      <c r="G663" s="38" t="str">
        <f>HYPERLINK("http://enext.ua/i081012")</f>
        <v>http://enext.ua/i081012</v>
      </c>
    </row>
    <row r="664" spans="2:7" ht="12" outlineLevel="2" x14ac:dyDescent="0.2">
      <c r="B664" s="8"/>
      <c r="C664" s="35" t="s">
        <v>1265</v>
      </c>
      <c r="D664" s="8"/>
      <c r="E664" s="9"/>
      <c r="F664" s="9"/>
      <c r="G664" s="8"/>
    </row>
    <row r="665" spans="2:7" ht="11.25" outlineLevel="3" x14ac:dyDescent="0.2">
      <c r="B665" s="14" t="s">
        <v>1266</v>
      </c>
      <c r="C665" s="14" t="s">
        <v>1267</v>
      </c>
      <c r="D665" s="14">
        <v>1</v>
      </c>
      <c r="E665" s="15">
        <v>68.150000000000006</v>
      </c>
      <c r="F665" s="16" t="s">
        <v>8</v>
      </c>
      <c r="G665" s="14"/>
    </row>
    <row r="666" spans="2:7" ht="11.25" outlineLevel="3" x14ac:dyDescent="0.2">
      <c r="B666" s="14" t="s">
        <v>1268</v>
      </c>
      <c r="C666" s="14" t="s">
        <v>1269</v>
      </c>
      <c r="D666" s="14">
        <v>3</v>
      </c>
      <c r="E666" s="15">
        <v>68.150000000000006</v>
      </c>
      <c r="F666" s="16" t="s">
        <v>8</v>
      </c>
      <c r="G666" s="38" t="str">
        <f>HYPERLINK("http://enext.ua/i0760041")</f>
        <v>http://enext.ua/i0760041</v>
      </c>
    </row>
    <row r="667" spans="2:7" ht="11.25" outlineLevel="3" x14ac:dyDescent="0.2">
      <c r="B667" s="14" t="s">
        <v>1270</v>
      </c>
      <c r="C667" s="14" t="s">
        <v>1271</v>
      </c>
      <c r="D667" s="14">
        <v>3</v>
      </c>
      <c r="E667" s="15">
        <v>68.150000000000006</v>
      </c>
      <c r="F667" s="16" t="s">
        <v>8</v>
      </c>
      <c r="G667" s="38" t="str">
        <f>HYPERLINK("http://enext.ua/i0760042")</f>
        <v>http://enext.ua/i0760042</v>
      </c>
    </row>
    <row r="668" spans="2:7" ht="11.25" outlineLevel="3" x14ac:dyDescent="0.2">
      <c r="B668" s="14" t="s">
        <v>1272</v>
      </c>
      <c r="C668" s="14" t="s">
        <v>1273</v>
      </c>
      <c r="D668" s="14">
        <v>1</v>
      </c>
      <c r="E668" s="15">
        <v>68.150000000000006</v>
      </c>
      <c r="F668" s="16" t="s">
        <v>8</v>
      </c>
      <c r="G668" s="14"/>
    </row>
    <row r="669" spans="2:7" ht="11.25" outlineLevel="3" x14ac:dyDescent="0.2">
      <c r="B669" s="14" t="s">
        <v>1274</v>
      </c>
      <c r="C669" s="14" t="s">
        <v>1275</v>
      </c>
      <c r="D669" s="14">
        <v>3</v>
      </c>
      <c r="E669" s="15">
        <v>68.150000000000006</v>
      </c>
      <c r="F669" s="16" t="s">
        <v>8</v>
      </c>
      <c r="G669" s="38" t="str">
        <f>HYPERLINK("http://enext.ua/i0760043")</f>
        <v>http://enext.ua/i0760043</v>
      </c>
    </row>
    <row r="670" spans="2:7" ht="11.25" outlineLevel="3" x14ac:dyDescent="0.2">
      <c r="B670" s="14" t="s">
        <v>1276</v>
      </c>
      <c r="C670" s="14" t="s">
        <v>1277</v>
      </c>
      <c r="D670" s="14">
        <v>1</v>
      </c>
      <c r="E670" s="15">
        <v>68.150000000000006</v>
      </c>
      <c r="F670" s="16" t="s">
        <v>8</v>
      </c>
      <c r="G670" s="14"/>
    </row>
    <row r="671" spans="2:7" ht="11.25" outlineLevel="3" x14ac:dyDescent="0.2">
      <c r="B671" s="14" t="s">
        <v>1278</v>
      </c>
      <c r="C671" s="14" t="s">
        <v>1279</v>
      </c>
      <c r="D671" s="14">
        <v>3</v>
      </c>
      <c r="E671" s="15">
        <v>68.150000000000006</v>
      </c>
      <c r="F671" s="16" t="s">
        <v>8</v>
      </c>
      <c r="G671" s="38" t="str">
        <f>HYPERLINK("http://enext.ua/i0760044")</f>
        <v>http://enext.ua/i0760044</v>
      </c>
    </row>
    <row r="672" spans="2:7" ht="11.25" outlineLevel="3" x14ac:dyDescent="0.2">
      <c r="B672" s="14" t="s">
        <v>1280</v>
      </c>
      <c r="C672" s="14" t="s">
        <v>1281</v>
      </c>
      <c r="D672" s="14">
        <v>3</v>
      </c>
      <c r="E672" s="15">
        <v>68.150000000000006</v>
      </c>
      <c r="F672" s="16" t="s">
        <v>8</v>
      </c>
      <c r="G672" s="38" t="str">
        <f>HYPERLINK("http://enext.ua/i0760045")</f>
        <v>http://enext.ua/i0760045</v>
      </c>
    </row>
    <row r="673" spans="2:7" ht="11.25" outlineLevel="3" x14ac:dyDescent="0.2">
      <c r="B673" s="14" t="s">
        <v>1282</v>
      </c>
      <c r="C673" s="14" t="s">
        <v>1283</v>
      </c>
      <c r="D673" s="14">
        <v>3</v>
      </c>
      <c r="E673" s="15">
        <v>68.150000000000006</v>
      </c>
      <c r="F673" s="16" t="s">
        <v>8</v>
      </c>
      <c r="G673" s="38" t="str">
        <f>HYPERLINK("http://enext.ua/i0760046")</f>
        <v>http://enext.ua/i0760046</v>
      </c>
    </row>
    <row r="674" spans="2:7" ht="11.25" outlineLevel="3" x14ac:dyDescent="0.2">
      <c r="B674" s="14" t="s">
        <v>1284</v>
      </c>
      <c r="C674" s="14" t="s">
        <v>1285</v>
      </c>
      <c r="D674" s="14">
        <v>3</v>
      </c>
      <c r="E674" s="15">
        <v>68.150000000000006</v>
      </c>
      <c r="F674" s="16" t="s">
        <v>8</v>
      </c>
      <c r="G674" s="38" t="str">
        <f>HYPERLINK("http://enext.ua/i0760047")</f>
        <v>http://enext.ua/i0760047</v>
      </c>
    </row>
    <row r="675" spans="2:7" ht="11.25" outlineLevel="3" x14ac:dyDescent="0.2">
      <c r="B675" s="14" t="s">
        <v>1286</v>
      </c>
      <c r="C675" s="14" t="s">
        <v>1287</v>
      </c>
      <c r="D675" s="14">
        <v>3</v>
      </c>
      <c r="E675" s="15">
        <v>68.150000000000006</v>
      </c>
      <c r="F675" s="16" t="s">
        <v>8</v>
      </c>
      <c r="G675" s="38" t="str">
        <f>HYPERLINK("http://enext.ua/i0760048")</f>
        <v>http://enext.ua/i0760048</v>
      </c>
    </row>
    <row r="676" spans="2:7" ht="11.25" outlineLevel="3" x14ac:dyDescent="0.2">
      <c r="B676" s="14" t="s">
        <v>1288</v>
      </c>
      <c r="C676" s="14" t="s">
        <v>1289</v>
      </c>
      <c r="D676" s="14">
        <v>3</v>
      </c>
      <c r="E676" s="15">
        <v>68.150000000000006</v>
      </c>
      <c r="F676" s="16" t="s">
        <v>8</v>
      </c>
      <c r="G676" s="38" t="str">
        <f>HYPERLINK("http://enext.ua/i0760049")</f>
        <v>http://enext.ua/i0760049</v>
      </c>
    </row>
    <row r="677" spans="2:7" ht="11.25" outlineLevel="3" x14ac:dyDescent="0.2">
      <c r="B677" s="14" t="s">
        <v>1290</v>
      </c>
      <c r="C677" s="14" t="s">
        <v>1291</v>
      </c>
      <c r="D677" s="14">
        <v>1</v>
      </c>
      <c r="E677" s="15">
        <v>95.01</v>
      </c>
      <c r="F677" s="16" t="s">
        <v>8</v>
      </c>
      <c r="G677" s="14"/>
    </row>
    <row r="678" spans="2:7" ht="11.25" outlineLevel="3" x14ac:dyDescent="0.2">
      <c r="B678" s="14" t="s">
        <v>1292</v>
      </c>
      <c r="C678" s="14" t="s">
        <v>1293</v>
      </c>
      <c r="D678" s="14">
        <v>1</v>
      </c>
      <c r="E678" s="15">
        <v>95.01</v>
      </c>
      <c r="F678" s="16" t="s">
        <v>8</v>
      </c>
      <c r="G678" s="14"/>
    </row>
    <row r="679" spans="2:7" ht="11.25" outlineLevel="3" x14ac:dyDescent="0.2">
      <c r="B679" s="14" t="s">
        <v>1294</v>
      </c>
      <c r="C679" s="14" t="s">
        <v>1295</v>
      </c>
      <c r="D679" s="14">
        <v>1</v>
      </c>
      <c r="E679" s="15">
        <v>95.01</v>
      </c>
      <c r="F679" s="16" t="s">
        <v>8</v>
      </c>
      <c r="G679" s="14"/>
    </row>
    <row r="680" spans="2:7" ht="11.25" outlineLevel="3" x14ac:dyDescent="0.2">
      <c r="B680" s="14" t="s">
        <v>1296</v>
      </c>
      <c r="C680" s="14" t="s">
        <v>1297</v>
      </c>
      <c r="D680" s="14">
        <v>1</v>
      </c>
      <c r="E680" s="15">
        <v>95.01</v>
      </c>
      <c r="F680" s="16" t="s">
        <v>8</v>
      </c>
      <c r="G680" s="14"/>
    </row>
    <row r="681" spans="2:7" ht="11.25" outlineLevel="3" x14ac:dyDescent="0.2">
      <c r="B681" s="14" t="s">
        <v>1298</v>
      </c>
      <c r="C681" s="14" t="s">
        <v>1299</v>
      </c>
      <c r="D681" s="14">
        <v>3</v>
      </c>
      <c r="E681" s="15">
        <v>95.01</v>
      </c>
      <c r="F681" s="16" t="s">
        <v>8</v>
      </c>
      <c r="G681" s="38" t="str">
        <f>HYPERLINK("http://enext.ua/i0760050")</f>
        <v>http://enext.ua/i0760050</v>
      </c>
    </row>
    <row r="682" spans="2:7" ht="11.25" outlineLevel="3" x14ac:dyDescent="0.2">
      <c r="B682" s="14" t="s">
        <v>1300</v>
      </c>
      <c r="C682" s="14" t="s">
        <v>1301</v>
      </c>
      <c r="D682" s="14">
        <v>3</v>
      </c>
      <c r="E682" s="15">
        <v>95.01</v>
      </c>
      <c r="F682" s="16" t="s">
        <v>8</v>
      </c>
      <c r="G682" s="38" t="str">
        <f>HYPERLINK("http://enext.ua/i0760051")</f>
        <v>http://enext.ua/i0760051</v>
      </c>
    </row>
    <row r="683" spans="2:7" ht="11.25" outlineLevel="3" x14ac:dyDescent="0.2">
      <c r="B683" s="14" t="s">
        <v>1302</v>
      </c>
      <c r="C683" s="14" t="s">
        <v>1303</v>
      </c>
      <c r="D683" s="14">
        <v>3</v>
      </c>
      <c r="E683" s="15">
        <v>95.01</v>
      </c>
      <c r="F683" s="16" t="s">
        <v>8</v>
      </c>
      <c r="G683" s="38" t="str">
        <f>HYPERLINK("http://enext.ua/i0760052")</f>
        <v>http://enext.ua/i0760052</v>
      </c>
    </row>
    <row r="684" spans="2:7" ht="11.25" outlineLevel="3" x14ac:dyDescent="0.2">
      <c r="B684" s="14" t="s">
        <v>1304</v>
      </c>
      <c r="C684" s="14" t="s">
        <v>1305</v>
      </c>
      <c r="D684" s="14">
        <v>3</v>
      </c>
      <c r="E684" s="15">
        <v>95.01</v>
      </c>
      <c r="F684" s="16" t="s">
        <v>8</v>
      </c>
      <c r="G684" s="38" t="str">
        <f>HYPERLINK("http://enext.ua/i0760053")</f>
        <v>http://enext.ua/i0760053</v>
      </c>
    </row>
    <row r="685" spans="2:7" ht="11.25" outlineLevel="3" x14ac:dyDescent="0.2">
      <c r="B685" s="14" t="s">
        <v>1306</v>
      </c>
      <c r="C685" s="14" t="s">
        <v>1307</v>
      </c>
      <c r="D685" s="14">
        <v>3</v>
      </c>
      <c r="E685" s="15">
        <v>95.01</v>
      </c>
      <c r="F685" s="16" t="s">
        <v>8</v>
      </c>
      <c r="G685" s="38" t="str">
        <f>HYPERLINK("http://enext.ua/i0760054")</f>
        <v>http://enext.ua/i0760054</v>
      </c>
    </row>
    <row r="686" spans="2:7" ht="11.25" outlineLevel="3" x14ac:dyDescent="0.2">
      <c r="B686" s="14" t="s">
        <v>1308</v>
      </c>
      <c r="C686" s="14" t="s">
        <v>1309</v>
      </c>
      <c r="D686" s="14">
        <v>1</v>
      </c>
      <c r="E686" s="15">
        <v>149</v>
      </c>
      <c r="F686" s="16" t="s">
        <v>8</v>
      </c>
      <c r="G686" s="14"/>
    </row>
    <row r="687" spans="2:7" ht="11.25" outlineLevel="3" x14ac:dyDescent="0.2">
      <c r="B687" s="14" t="s">
        <v>1310</v>
      </c>
      <c r="C687" s="14" t="s">
        <v>1311</v>
      </c>
      <c r="D687" s="14">
        <v>1</v>
      </c>
      <c r="E687" s="15">
        <v>149</v>
      </c>
      <c r="F687" s="16" t="s">
        <v>8</v>
      </c>
      <c r="G687" s="14"/>
    </row>
    <row r="688" spans="2:7" ht="11.25" outlineLevel="3" x14ac:dyDescent="0.2">
      <c r="B688" s="14" t="s">
        <v>1312</v>
      </c>
      <c r="C688" s="14" t="s">
        <v>1313</v>
      </c>
      <c r="D688" s="14">
        <v>3</v>
      </c>
      <c r="E688" s="15">
        <v>149</v>
      </c>
      <c r="F688" s="16" t="s">
        <v>8</v>
      </c>
      <c r="G688" s="38" t="str">
        <f>HYPERLINK("http://enext.ua/i0760055")</f>
        <v>http://enext.ua/i0760055</v>
      </c>
    </row>
    <row r="689" spans="2:7" ht="11.25" outlineLevel="3" x14ac:dyDescent="0.2">
      <c r="B689" s="14" t="s">
        <v>1314</v>
      </c>
      <c r="C689" s="14" t="s">
        <v>1315</v>
      </c>
      <c r="D689" s="14">
        <v>3</v>
      </c>
      <c r="E689" s="15">
        <v>149</v>
      </c>
      <c r="F689" s="16" t="s">
        <v>8</v>
      </c>
      <c r="G689" s="38" t="str">
        <f>HYPERLINK("http://enext.ua/i0760056")</f>
        <v>http://enext.ua/i0760056</v>
      </c>
    </row>
    <row r="690" spans="2:7" ht="11.25" outlineLevel="3" x14ac:dyDescent="0.2">
      <c r="B690" s="14" t="s">
        <v>1316</v>
      </c>
      <c r="C690" s="14" t="s">
        <v>1317</v>
      </c>
      <c r="D690" s="14">
        <v>3</v>
      </c>
      <c r="E690" s="15">
        <v>149</v>
      </c>
      <c r="F690" s="16" t="s">
        <v>8</v>
      </c>
      <c r="G690" s="38" t="str">
        <f>HYPERLINK("http://enext.ua/i0760057")</f>
        <v>http://enext.ua/i0760057</v>
      </c>
    </row>
    <row r="691" spans="2:7" ht="11.25" outlineLevel="3" x14ac:dyDescent="0.2">
      <c r="B691" s="14" t="s">
        <v>1318</v>
      </c>
      <c r="C691" s="14" t="s">
        <v>1319</v>
      </c>
      <c r="D691" s="14">
        <v>3</v>
      </c>
      <c r="E691" s="15">
        <v>149</v>
      </c>
      <c r="F691" s="16" t="s">
        <v>8</v>
      </c>
      <c r="G691" s="38" t="str">
        <f>HYPERLINK("http://enext.ua/i0760058")</f>
        <v>http://enext.ua/i0760058</v>
      </c>
    </row>
    <row r="692" spans="2:7" ht="11.25" outlineLevel="3" x14ac:dyDescent="0.2">
      <c r="B692" s="14" t="s">
        <v>1320</v>
      </c>
      <c r="C692" s="14" t="s">
        <v>1321</v>
      </c>
      <c r="D692" s="14">
        <v>3</v>
      </c>
      <c r="E692" s="15">
        <v>149</v>
      </c>
      <c r="F692" s="16" t="s">
        <v>8</v>
      </c>
      <c r="G692" s="38" t="str">
        <f>HYPERLINK("http://enext.ua/i0760059")</f>
        <v>http://enext.ua/i0760059</v>
      </c>
    </row>
    <row r="693" spans="2:7" ht="11.25" outlineLevel="3" x14ac:dyDescent="0.2">
      <c r="B693" s="14" t="s">
        <v>1322</v>
      </c>
      <c r="C693" s="14" t="s">
        <v>1323</v>
      </c>
      <c r="D693" s="14">
        <v>1</v>
      </c>
      <c r="E693" s="15">
        <v>220.03</v>
      </c>
      <c r="F693" s="16" t="s">
        <v>8</v>
      </c>
      <c r="G693" s="38" t="str">
        <f>HYPERLINK("http://enext.ua/i0760070")</f>
        <v>http://enext.ua/i0760070</v>
      </c>
    </row>
    <row r="694" spans="2:7" ht="11.25" outlineLevel="3" x14ac:dyDescent="0.2">
      <c r="B694" s="14" t="s">
        <v>1324</v>
      </c>
      <c r="C694" s="14" t="s">
        <v>1325</v>
      </c>
      <c r="D694" s="14">
        <v>1</v>
      </c>
      <c r="E694" s="15">
        <v>220.03</v>
      </c>
      <c r="F694" s="16" t="s">
        <v>8</v>
      </c>
      <c r="G694" s="38" t="str">
        <f>HYPERLINK("http://enext.ua/i0760071")</f>
        <v>http://enext.ua/i0760071</v>
      </c>
    </row>
    <row r="695" spans="2:7" ht="11.25" outlineLevel="3" x14ac:dyDescent="0.2">
      <c r="B695" s="14" t="s">
        <v>1326</v>
      </c>
      <c r="C695" s="14" t="s">
        <v>1327</v>
      </c>
      <c r="D695" s="14">
        <v>1</v>
      </c>
      <c r="E695" s="15">
        <v>220.03</v>
      </c>
      <c r="F695" s="16" t="s">
        <v>8</v>
      </c>
      <c r="G695" s="38" t="str">
        <f>HYPERLINK("http://enext.ua/i0760072")</f>
        <v>http://enext.ua/i0760072</v>
      </c>
    </row>
    <row r="696" spans="2:7" ht="11.25" outlineLevel="3" x14ac:dyDescent="0.2">
      <c r="B696" s="14" t="s">
        <v>1328</v>
      </c>
      <c r="C696" s="14" t="s">
        <v>1329</v>
      </c>
      <c r="D696" s="14">
        <v>1</v>
      </c>
      <c r="E696" s="15">
        <v>220.03</v>
      </c>
      <c r="F696" s="16" t="s">
        <v>8</v>
      </c>
      <c r="G696" s="38" t="str">
        <f>HYPERLINK("http://enext.ua/i0760073")</f>
        <v>http://enext.ua/i0760073</v>
      </c>
    </row>
    <row r="697" spans="2:7" ht="11.25" outlineLevel="3" x14ac:dyDescent="0.2">
      <c r="B697" s="14" t="s">
        <v>1330</v>
      </c>
      <c r="C697" s="14" t="s">
        <v>1331</v>
      </c>
      <c r="D697" s="14">
        <v>1</v>
      </c>
      <c r="E697" s="15">
        <v>220.03</v>
      </c>
      <c r="F697" s="16" t="s">
        <v>8</v>
      </c>
      <c r="G697" s="38" t="str">
        <f>HYPERLINK("http://enext.ua/i0760074")</f>
        <v>http://enext.ua/i0760074</v>
      </c>
    </row>
    <row r="698" spans="2:7" ht="11.25" outlineLevel="3" x14ac:dyDescent="0.2">
      <c r="B698" s="14" t="s">
        <v>1332</v>
      </c>
      <c r="C698" s="14" t="s">
        <v>1333</v>
      </c>
      <c r="D698" s="14">
        <v>1</v>
      </c>
      <c r="E698" s="15">
        <v>220.03</v>
      </c>
      <c r="F698" s="16" t="s">
        <v>8</v>
      </c>
      <c r="G698" s="38" t="str">
        <f>HYPERLINK("http://enext.ua/i0760075")</f>
        <v>http://enext.ua/i0760075</v>
      </c>
    </row>
    <row r="699" spans="2:7" ht="11.25" outlineLevel="3" x14ac:dyDescent="0.2">
      <c r="B699" s="14" t="s">
        <v>1334</v>
      </c>
      <c r="C699" s="14" t="s">
        <v>1335</v>
      </c>
      <c r="D699" s="14">
        <v>1</v>
      </c>
      <c r="E699" s="15">
        <v>220.03</v>
      </c>
      <c r="F699" s="16" t="s">
        <v>8</v>
      </c>
      <c r="G699" s="38" t="str">
        <f>HYPERLINK("http://enext.ua/i0760060")</f>
        <v>http://enext.ua/i0760060</v>
      </c>
    </row>
    <row r="700" spans="2:7" ht="11.25" outlineLevel="3" x14ac:dyDescent="0.2">
      <c r="B700" s="14" t="s">
        <v>1336</v>
      </c>
      <c r="C700" s="14" t="s">
        <v>1337</v>
      </c>
      <c r="D700" s="14">
        <v>1</v>
      </c>
      <c r="E700" s="15">
        <v>220.03</v>
      </c>
      <c r="F700" s="16" t="s">
        <v>8</v>
      </c>
      <c r="G700" s="38" t="str">
        <f>HYPERLINK("http://enext.ua/i0760061")</f>
        <v>http://enext.ua/i0760061</v>
      </c>
    </row>
    <row r="701" spans="2:7" ht="11.25" outlineLevel="3" x14ac:dyDescent="0.2">
      <c r="B701" s="14" t="s">
        <v>1338</v>
      </c>
      <c r="C701" s="14" t="s">
        <v>1339</v>
      </c>
      <c r="D701" s="14">
        <v>1</v>
      </c>
      <c r="E701" s="15">
        <v>234.18</v>
      </c>
      <c r="F701" s="16" t="s">
        <v>8</v>
      </c>
      <c r="G701" s="38" t="str">
        <f>HYPERLINK("http://enext.ua/i0760062")</f>
        <v>http://enext.ua/i0760062</v>
      </c>
    </row>
    <row r="702" spans="2:7" ht="11.25" outlineLevel="3" x14ac:dyDescent="0.2">
      <c r="B702" s="14" t="s">
        <v>1340</v>
      </c>
      <c r="C702" s="14" t="s">
        <v>1341</v>
      </c>
      <c r="D702" s="14">
        <v>1</v>
      </c>
      <c r="E702" s="15">
        <v>330.63</v>
      </c>
      <c r="F702" s="16" t="s">
        <v>8</v>
      </c>
      <c r="G702" s="38" t="str">
        <f>HYPERLINK("http://enext.ua/i0760063")</f>
        <v>http://enext.ua/i0760063</v>
      </c>
    </row>
    <row r="703" spans="2:7" ht="11.25" outlineLevel="3" x14ac:dyDescent="0.2">
      <c r="B703" s="14" t="s">
        <v>1342</v>
      </c>
      <c r="C703" s="14" t="s">
        <v>1343</v>
      </c>
      <c r="D703" s="14">
        <v>1</v>
      </c>
      <c r="E703" s="15">
        <v>330.63</v>
      </c>
      <c r="F703" s="16" t="s">
        <v>8</v>
      </c>
      <c r="G703" s="14"/>
    </row>
    <row r="704" spans="2:7" ht="11.25" outlineLevel="3" x14ac:dyDescent="0.2">
      <c r="B704" s="14" t="s">
        <v>1344</v>
      </c>
      <c r="C704" s="14" t="s">
        <v>1345</v>
      </c>
      <c r="D704" s="14">
        <v>1</v>
      </c>
      <c r="E704" s="15">
        <v>330.63</v>
      </c>
      <c r="F704" s="16" t="s">
        <v>8</v>
      </c>
      <c r="G704" s="38" t="str">
        <f>HYPERLINK("http://enext.ua/i0760064")</f>
        <v>http://enext.ua/i0760064</v>
      </c>
    </row>
    <row r="705" spans="2:7" ht="11.25" outlineLevel="3" x14ac:dyDescent="0.2">
      <c r="B705" s="14" t="s">
        <v>1346</v>
      </c>
      <c r="C705" s="14" t="s">
        <v>1347</v>
      </c>
      <c r="D705" s="14">
        <v>3</v>
      </c>
      <c r="E705" s="15">
        <v>77.680000000000007</v>
      </c>
      <c r="F705" s="16" t="s">
        <v>8</v>
      </c>
      <c r="G705" s="38" t="str">
        <f>HYPERLINK("http://enext.ua/i0760065")</f>
        <v>http://enext.ua/i0760065</v>
      </c>
    </row>
    <row r="706" spans="2:7" ht="11.25" outlineLevel="3" x14ac:dyDescent="0.2">
      <c r="B706" s="14" t="s">
        <v>1348</v>
      </c>
      <c r="C706" s="14" t="s">
        <v>1349</v>
      </c>
      <c r="D706" s="14">
        <v>3</v>
      </c>
      <c r="E706" s="15">
        <v>118.11</v>
      </c>
      <c r="F706" s="16" t="s">
        <v>8</v>
      </c>
      <c r="G706" s="38" t="str">
        <f>HYPERLINK("http://enext.ua/i0760066")</f>
        <v>http://enext.ua/i0760066</v>
      </c>
    </row>
    <row r="707" spans="2:7" ht="11.25" outlineLevel="3" x14ac:dyDescent="0.2">
      <c r="B707" s="14" t="s">
        <v>1350</v>
      </c>
      <c r="C707" s="14" t="s">
        <v>1351</v>
      </c>
      <c r="D707" s="14">
        <v>3</v>
      </c>
      <c r="E707" s="15">
        <v>189.14</v>
      </c>
      <c r="F707" s="16" t="s">
        <v>8</v>
      </c>
      <c r="G707" s="38" t="str">
        <f>HYPERLINK("http://enext.ua/i0760067")</f>
        <v>http://enext.ua/i0760067</v>
      </c>
    </row>
    <row r="708" spans="2:7" ht="11.25" outlineLevel="3" x14ac:dyDescent="0.2">
      <c r="B708" s="14" t="s">
        <v>1352</v>
      </c>
      <c r="C708" s="14" t="s">
        <v>1353</v>
      </c>
      <c r="D708" s="14">
        <v>1</v>
      </c>
      <c r="E708" s="15">
        <v>314.45999999999998</v>
      </c>
      <c r="F708" s="16" t="s">
        <v>8</v>
      </c>
      <c r="G708" s="38" t="str">
        <f>HYPERLINK("http://enext.ua/i0760068")</f>
        <v>http://enext.ua/i0760068</v>
      </c>
    </row>
    <row r="709" spans="2:7" ht="11.25" outlineLevel="3" x14ac:dyDescent="0.2">
      <c r="B709" s="14" t="s">
        <v>1354</v>
      </c>
      <c r="C709" s="14" t="s">
        <v>1355</v>
      </c>
      <c r="D709" s="14">
        <v>1</v>
      </c>
      <c r="E709" s="15">
        <v>435.73</v>
      </c>
      <c r="F709" s="16" t="s">
        <v>8</v>
      </c>
      <c r="G709" s="38" t="str">
        <f>HYPERLINK("http://enext.ua/i0760069")</f>
        <v>http://enext.ua/i0760069</v>
      </c>
    </row>
    <row r="710" spans="2:7" ht="11.25" outlineLevel="3" x14ac:dyDescent="0.2">
      <c r="B710" s="14" t="s">
        <v>1356</v>
      </c>
      <c r="C710" s="14" t="s">
        <v>1357</v>
      </c>
      <c r="D710" s="14">
        <v>3</v>
      </c>
      <c r="E710" s="15">
        <v>82.88</v>
      </c>
      <c r="F710" s="16" t="s">
        <v>8</v>
      </c>
      <c r="G710" s="38" t="str">
        <f>HYPERLINK("http://enext.ua/i0760006")</f>
        <v>http://enext.ua/i0760006</v>
      </c>
    </row>
    <row r="711" spans="2:7" ht="11.25" outlineLevel="3" x14ac:dyDescent="0.2">
      <c r="B711" s="14" t="s">
        <v>1358</v>
      </c>
      <c r="C711" s="14" t="s">
        <v>1359</v>
      </c>
      <c r="D711" s="14">
        <v>3</v>
      </c>
      <c r="E711" s="15">
        <v>82.88</v>
      </c>
      <c r="F711" s="16" t="s">
        <v>8</v>
      </c>
      <c r="G711" s="38" t="str">
        <f>HYPERLINK("http://enext.ua/i0760007")</f>
        <v>http://enext.ua/i0760007</v>
      </c>
    </row>
    <row r="712" spans="2:7" ht="11.25" outlineLevel="3" x14ac:dyDescent="0.2">
      <c r="B712" s="14" t="s">
        <v>1360</v>
      </c>
      <c r="C712" s="14" t="s">
        <v>1361</v>
      </c>
      <c r="D712" s="14">
        <v>3</v>
      </c>
      <c r="E712" s="15">
        <v>82.88</v>
      </c>
      <c r="F712" s="16" t="s">
        <v>8</v>
      </c>
      <c r="G712" s="38" t="str">
        <f>HYPERLINK("http://enext.ua/i0760010")</f>
        <v>http://enext.ua/i0760010</v>
      </c>
    </row>
    <row r="713" spans="2:7" ht="11.25" outlineLevel="3" x14ac:dyDescent="0.2">
      <c r="B713" s="14" t="s">
        <v>1362</v>
      </c>
      <c r="C713" s="14" t="s">
        <v>1363</v>
      </c>
      <c r="D713" s="14">
        <v>3</v>
      </c>
      <c r="E713" s="15">
        <v>129.08000000000001</v>
      </c>
      <c r="F713" s="16" t="s">
        <v>8</v>
      </c>
      <c r="G713" s="38" t="str">
        <f>HYPERLINK("http://enext.ua/i0760012")</f>
        <v>http://enext.ua/i0760012</v>
      </c>
    </row>
    <row r="714" spans="2:7" ht="11.25" outlineLevel="3" x14ac:dyDescent="0.2">
      <c r="B714" s="14" t="s">
        <v>1364</v>
      </c>
      <c r="C714" s="14" t="s">
        <v>1365</v>
      </c>
      <c r="D714" s="14">
        <v>3</v>
      </c>
      <c r="E714" s="15">
        <v>129.08000000000001</v>
      </c>
      <c r="F714" s="16" t="s">
        <v>8</v>
      </c>
      <c r="G714" s="38" t="str">
        <f>HYPERLINK("http://enext.ua/i0760014")</f>
        <v>http://enext.ua/i0760014</v>
      </c>
    </row>
    <row r="715" spans="2:7" ht="12" outlineLevel="2" x14ac:dyDescent="0.2">
      <c r="B715" s="8"/>
      <c r="C715" s="35" t="s">
        <v>1366</v>
      </c>
      <c r="D715" s="8"/>
      <c r="E715" s="9"/>
      <c r="F715" s="9"/>
      <c r="G715" s="8"/>
    </row>
    <row r="716" spans="2:7" ht="11.25" outlineLevel="3" x14ac:dyDescent="0.2">
      <c r="B716" s="14" t="s">
        <v>1367</v>
      </c>
      <c r="C716" s="14" t="s">
        <v>1368</v>
      </c>
      <c r="D716" s="14">
        <v>1</v>
      </c>
      <c r="E716" s="17">
        <v>1004.28</v>
      </c>
      <c r="F716" s="16" t="s">
        <v>8</v>
      </c>
      <c r="G716" s="38" t="str">
        <f>HYPERLINK("http://enext.ua/BP32-31B71250")</f>
        <v>http://enext.ua/BP32-31B71250</v>
      </c>
    </row>
    <row r="717" spans="2:7" ht="11.25" outlineLevel="3" x14ac:dyDescent="0.2">
      <c r="B717" s="14" t="s">
        <v>1369</v>
      </c>
      <c r="C717" s="14" t="s">
        <v>1370</v>
      </c>
      <c r="D717" s="14">
        <v>1</v>
      </c>
      <c r="E717" s="17">
        <v>1524.04</v>
      </c>
      <c r="F717" s="16" t="s">
        <v>8</v>
      </c>
      <c r="G717" s="38" t="str">
        <f>HYPERLINK("http://enext.ua/BP32-35B71250")</f>
        <v>http://enext.ua/BP32-35B71250</v>
      </c>
    </row>
    <row r="718" spans="2:7" ht="11.25" outlineLevel="3" x14ac:dyDescent="0.2">
      <c r="B718" s="14" t="s">
        <v>1371</v>
      </c>
      <c r="C718" s="14" t="s">
        <v>1372</v>
      </c>
      <c r="D718" s="14">
        <v>1</v>
      </c>
      <c r="E718" s="17">
        <v>2125.2199999999998</v>
      </c>
      <c r="F718" s="16" t="s">
        <v>8</v>
      </c>
      <c r="G718" s="38" t="str">
        <f>HYPERLINK("http://enext.ua/BP32-37B71250")</f>
        <v>http://enext.ua/BP32-37B71250</v>
      </c>
    </row>
    <row r="719" spans="2:7" ht="11.25" outlineLevel="3" x14ac:dyDescent="0.2">
      <c r="B719" s="14" t="s">
        <v>1373</v>
      </c>
      <c r="C719" s="14" t="s">
        <v>1374</v>
      </c>
      <c r="D719" s="14">
        <v>1</v>
      </c>
      <c r="E719" s="17">
        <v>4279.32</v>
      </c>
      <c r="F719" s="16" t="s">
        <v>8</v>
      </c>
      <c r="G719" s="38" t="str">
        <f>HYPERLINK("http://enext.ua/BP32-39B71250")</f>
        <v>http://enext.ua/BP32-39B71250</v>
      </c>
    </row>
    <row r="720" spans="2:7" ht="11.25" outlineLevel="3" x14ac:dyDescent="0.2">
      <c r="B720" s="14" t="s">
        <v>1375</v>
      </c>
      <c r="C720" s="14" t="s">
        <v>1376</v>
      </c>
      <c r="D720" s="14">
        <v>1</v>
      </c>
      <c r="E720" s="15">
        <v>611.58000000000004</v>
      </c>
      <c r="F720" s="16" t="s">
        <v>8</v>
      </c>
      <c r="G720" s="38" t="str">
        <f>HYPERLINK("http://enext.ua/BP32-31B31250")</f>
        <v>http://enext.ua/BP32-31B31250</v>
      </c>
    </row>
    <row r="721" spans="2:7" ht="11.25" outlineLevel="3" x14ac:dyDescent="0.2">
      <c r="B721" s="14" t="s">
        <v>1377</v>
      </c>
      <c r="C721" s="14" t="s">
        <v>1378</v>
      </c>
      <c r="D721" s="14">
        <v>1</v>
      </c>
      <c r="E721" s="15">
        <v>863.09</v>
      </c>
      <c r="F721" s="16" t="s">
        <v>8</v>
      </c>
      <c r="G721" s="38" t="str">
        <f>HYPERLINK("http://enext.ua/BP32-35B31250")</f>
        <v>http://enext.ua/BP32-35B31250</v>
      </c>
    </row>
    <row r="722" spans="2:7" ht="11.25" outlineLevel="3" x14ac:dyDescent="0.2">
      <c r="B722" s="14" t="s">
        <v>1379</v>
      </c>
      <c r="C722" s="14" t="s">
        <v>1380</v>
      </c>
      <c r="D722" s="14">
        <v>1</v>
      </c>
      <c r="E722" s="17">
        <v>1305.74</v>
      </c>
      <c r="F722" s="16" t="s">
        <v>8</v>
      </c>
      <c r="G722" s="38" t="str">
        <f>HYPERLINK("http://enext.ua/BP32-37B31250")</f>
        <v>http://enext.ua/BP32-37B31250</v>
      </c>
    </row>
    <row r="723" spans="2:7" ht="11.25" outlineLevel="3" x14ac:dyDescent="0.2">
      <c r="B723" s="14" t="s">
        <v>1381</v>
      </c>
      <c r="C723" s="14" t="s">
        <v>1382</v>
      </c>
      <c r="D723" s="14">
        <v>1</v>
      </c>
      <c r="E723" s="17">
        <v>2412.54</v>
      </c>
      <c r="F723" s="16" t="s">
        <v>8</v>
      </c>
      <c r="G723" s="38" t="str">
        <f>HYPERLINK("http://enext.ua/BP32-39B31250")</f>
        <v>http://enext.ua/BP32-39B31250</v>
      </c>
    </row>
    <row r="724" spans="2:7" ht="12" outlineLevel="2" x14ac:dyDescent="0.2">
      <c r="B724" s="8"/>
      <c r="C724" s="35" t="s">
        <v>1383</v>
      </c>
      <c r="D724" s="8"/>
      <c r="E724" s="9"/>
      <c r="F724" s="9"/>
      <c r="G724" s="8"/>
    </row>
    <row r="725" spans="2:7" ht="22.5" outlineLevel="3" x14ac:dyDescent="0.2">
      <c r="B725" s="14" t="s">
        <v>1384</v>
      </c>
      <c r="C725" s="14" t="s">
        <v>1385</v>
      </c>
      <c r="D725" s="14">
        <v>1</v>
      </c>
      <c r="E725" s="15">
        <v>664.54</v>
      </c>
      <c r="F725" s="16" t="s">
        <v>8</v>
      </c>
      <c r="G725" s="38" t="str">
        <f>HYPERLINK("http://enext.ua/i0590001")</f>
        <v>http://enext.ua/i0590001</v>
      </c>
    </row>
    <row r="726" spans="2:7" ht="22.5" outlineLevel="3" x14ac:dyDescent="0.2">
      <c r="B726" s="14" t="s">
        <v>1386</v>
      </c>
      <c r="C726" s="14" t="s">
        <v>1387</v>
      </c>
      <c r="D726" s="14">
        <v>1</v>
      </c>
      <c r="E726" s="17">
        <v>1074.3599999999999</v>
      </c>
      <c r="F726" s="16" t="s">
        <v>8</v>
      </c>
      <c r="G726" s="38" t="str">
        <f>HYPERLINK("http://enext.ua/i0590003")</f>
        <v>http://enext.ua/i0590003</v>
      </c>
    </row>
    <row r="727" spans="2:7" ht="22.5" outlineLevel="3" x14ac:dyDescent="0.2">
      <c r="B727" s="14" t="s">
        <v>1388</v>
      </c>
      <c r="C727" s="14" t="s">
        <v>1389</v>
      </c>
      <c r="D727" s="14">
        <v>1</v>
      </c>
      <c r="E727" s="17">
        <v>3070.24</v>
      </c>
      <c r="F727" s="16" t="s">
        <v>8</v>
      </c>
      <c r="G727" s="38" t="str">
        <f>HYPERLINK("http://enext.ua/i0590007")</f>
        <v>http://enext.ua/i0590007</v>
      </c>
    </row>
    <row r="728" spans="2:7" ht="22.5" outlineLevel="3" x14ac:dyDescent="0.2">
      <c r="B728" s="14" t="s">
        <v>1390</v>
      </c>
      <c r="C728" s="14" t="s">
        <v>1391</v>
      </c>
      <c r="D728" s="14">
        <v>1</v>
      </c>
      <c r="E728" s="17">
        <v>1023.83</v>
      </c>
      <c r="F728" s="16" t="s">
        <v>8</v>
      </c>
      <c r="G728" s="38" t="str">
        <f>HYPERLINK("http://enext.ua/i0590009")</f>
        <v>http://enext.ua/i0590009</v>
      </c>
    </row>
    <row r="729" spans="2:7" ht="22.5" outlineLevel="3" x14ac:dyDescent="0.2">
      <c r="B729" s="14" t="s">
        <v>1392</v>
      </c>
      <c r="C729" s="14" t="s">
        <v>1393</v>
      </c>
      <c r="D729" s="14">
        <v>1</v>
      </c>
      <c r="E729" s="17">
        <v>1122.4100000000001</v>
      </c>
      <c r="F729" s="16" t="s">
        <v>8</v>
      </c>
      <c r="G729" s="38" t="str">
        <f>HYPERLINK("http://enext.ua/i0590010")</f>
        <v>http://enext.ua/i0590010</v>
      </c>
    </row>
    <row r="730" spans="2:7" ht="22.5" outlineLevel="3" x14ac:dyDescent="0.2">
      <c r="B730" s="14" t="s">
        <v>1394</v>
      </c>
      <c r="C730" s="14" t="s">
        <v>1395</v>
      </c>
      <c r="D730" s="14">
        <v>1</v>
      </c>
      <c r="E730" s="17">
        <v>1425.4</v>
      </c>
      <c r="F730" s="16" t="s">
        <v>8</v>
      </c>
      <c r="G730" s="38" t="str">
        <f>HYPERLINK("http://enext.ua/i0590011")</f>
        <v>http://enext.ua/i0590011</v>
      </c>
    </row>
    <row r="731" spans="2:7" ht="22.5" outlineLevel="3" x14ac:dyDescent="0.2">
      <c r="B731" s="14" t="s">
        <v>1396</v>
      </c>
      <c r="C731" s="14" t="s">
        <v>1397</v>
      </c>
      <c r="D731" s="14">
        <v>1</v>
      </c>
      <c r="E731" s="17">
        <v>2572.9699999999998</v>
      </c>
      <c r="F731" s="16" t="s">
        <v>8</v>
      </c>
      <c r="G731" s="38" t="str">
        <f>HYPERLINK("http://enext.ua/i0590013")</f>
        <v>http://enext.ua/i0590013</v>
      </c>
    </row>
    <row r="732" spans="2:7" ht="22.5" outlineLevel="3" x14ac:dyDescent="0.2">
      <c r="B732" s="14" t="s">
        <v>1398</v>
      </c>
      <c r="C732" s="14" t="s">
        <v>1399</v>
      </c>
      <c r="D732" s="14">
        <v>1</v>
      </c>
      <c r="E732" s="17">
        <v>3500.27</v>
      </c>
      <c r="F732" s="16" t="s">
        <v>8</v>
      </c>
      <c r="G732" s="38" t="str">
        <f>HYPERLINK("http://enext.ua/i0590015")</f>
        <v>http://enext.ua/i0590015</v>
      </c>
    </row>
    <row r="733" spans="2:7" ht="22.5" outlineLevel="3" x14ac:dyDescent="0.2">
      <c r="B733" s="14" t="s">
        <v>1400</v>
      </c>
      <c r="C733" s="14" t="s">
        <v>1401</v>
      </c>
      <c r="D733" s="14">
        <v>1</v>
      </c>
      <c r="E733" s="17">
        <v>3607.11</v>
      </c>
      <c r="F733" s="16" t="s">
        <v>8</v>
      </c>
      <c r="G733" s="38" t="str">
        <f>HYPERLINK("http://enext.ua/i0590016")</f>
        <v>http://enext.ua/i0590016</v>
      </c>
    </row>
    <row r="734" spans="2:7" ht="12" outlineLevel="2" x14ac:dyDescent="0.2">
      <c r="B734" s="8"/>
      <c r="C734" s="35" t="s">
        <v>1402</v>
      </c>
      <c r="D734" s="8"/>
      <c r="E734" s="9"/>
      <c r="F734" s="9"/>
      <c r="G734" s="8"/>
    </row>
    <row r="735" spans="2:7" ht="11.25" outlineLevel="3" x14ac:dyDescent="0.2">
      <c r="B735" s="14" t="s">
        <v>1403</v>
      </c>
      <c r="C735" s="14" t="s">
        <v>1404</v>
      </c>
      <c r="D735" s="14">
        <v>1</v>
      </c>
      <c r="E735" s="15">
        <v>578.95000000000005</v>
      </c>
      <c r="F735" s="16" t="s">
        <v>8</v>
      </c>
      <c r="G735" s="38" t="str">
        <f>HYPERLINK("http://enext.ua/i0760039")</f>
        <v>http://enext.ua/i0760039</v>
      </c>
    </row>
    <row r="736" spans="2:7" ht="11.25" outlineLevel="3" x14ac:dyDescent="0.2">
      <c r="B736" s="14" t="s">
        <v>1405</v>
      </c>
      <c r="C736" s="14" t="s">
        <v>1406</v>
      </c>
      <c r="D736" s="14">
        <v>1</v>
      </c>
      <c r="E736" s="17">
        <v>1429.04</v>
      </c>
      <c r="F736" s="16" t="s">
        <v>8</v>
      </c>
      <c r="G736" s="38" t="str">
        <f>HYPERLINK("http://enext.ua/i0760040")</f>
        <v>http://enext.ua/i0760040</v>
      </c>
    </row>
    <row r="737" spans="2:7" ht="22.5" outlineLevel="3" x14ac:dyDescent="0.2">
      <c r="B737" s="14" t="s">
        <v>1407</v>
      </c>
      <c r="C737" s="14" t="s">
        <v>1408</v>
      </c>
      <c r="D737" s="14">
        <v>1</v>
      </c>
      <c r="E737" s="17">
        <v>5765.56</v>
      </c>
      <c r="F737" s="16" t="s">
        <v>8</v>
      </c>
      <c r="G737" s="38" t="str">
        <f>HYPERLINK("http://enext.ua/i0760090")</f>
        <v>http://enext.ua/i0760090</v>
      </c>
    </row>
    <row r="738" spans="2:7" ht="22.5" outlineLevel="3" x14ac:dyDescent="0.2">
      <c r="B738" s="14" t="s">
        <v>1409</v>
      </c>
      <c r="C738" s="14" t="s">
        <v>1410</v>
      </c>
      <c r="D738" s="14">
        <v>1</v>
      </c>
      <c r="E738" s="17">
        <v>7302.53</v>
      </c>
      <c r="F738" s="16" t="s">
        <v>8</v>
      </c>
      <c r="G738" s="38" t="str">
        <f>HYPERLINK("http://enext.ua/i0760091")</f>
        <v>http://enext.ua/i0760091</v>
      </c>
    </row>
    <row r="739" spans="2:7" ht="12" outlineLevel="2" x14ac:dyDescent="0.2">
      <c r="B739" s="8"/>
      <c r="C739" s="35" t="s">
        <v>1411</v>
      </c>
      <c r="D739" s="8"/>
      <c r="E739" s="9"/>
      <c r="F739" s="9"/>
      <c r="G739" s="8"/>
    </row>
    <row r="740" spans="2:7" ht="11.25" outlineLevel="3" x14ac:dyDescent="0.2">
      <c r="B740" s="14" t="s">
        <v>1412</v>
      </c>
      <c r="C740" s="14" t="s">
        <v>1413</v>
      </c>
      <c r="D740" s="14">
        <v>1</v>
      </c>
      <c r="E740" s="17">
        <v>4567.21</v>
      </c>
      <c r="F740" s="16" t="s">
        <v>8</v>
      </c>
      <c r="G740" s="38" t="str">
        <f>HYPERLINK("http://enext.ua/PE19-39-31140")</f>
        <v>http://enext.ua/PE19-39-31140</v>
      </c>
    </row>
    <row r="741" spans="2:7" ht="11.25" outlineLevel="3" x14ac:dyDescent="0.2">
      <c r="B741" s="14" t="s">
        <v>1414</v>
      </c>
      <c r="C741" s="14" t="s">
        <v>1415</v>
      </c>
      <c r="D741" s="14">
        <v>1</v>
      </c>
      <c r="E741" s="17">
        <v>6086.91</v>
      </c>
      <c r="F741" s="16" t="s">
        <v>8</v>
      </c>
      <c r="G741" s="38" t="str">
        <f>HYPERLINK("http://enext.ua/PE19-41-31140")</f>
        <v>http://enext.ua/PE19-41-31140</v>
      </c>
    </row>
    <row r="742" spans="2:7" ht="12" outlineLevel="2" x14ac:dyDescent="0.2">
      <c r="B742" s="8"/>
      <c r="C742" s="35" t="s">
        <v>1416</v>
      </c>
      <c r="D742" s="8"/>
      <c r="E742" s="9"/>
      <c r="F742" s="9"/>
      <c r="G742" s="8"/>
    </row>
    <row r="743" spans="2:7" ht="33.75" outlineLevel="3" x14ac:dyDescent="0.2">
      <c r="B743" s="14" t="s">
        <v>1417</v>
      </c>
      <c r="C743" s="14" t="s">
        <v>1418</v>
      </c>
      <c r="D743" s="14">
        <v>1</v>
      </c>
      <c r="E743" s="17">
        <v>60830.32</v>
      </c>
      <c r="F743" s="16" t="s">
        <v>8</v>
      </c>
      <c r="G743" s="38" t="str">
        <f>HYPERLINK("http://enext.ua/i0810001")</f>
        <v>http://enext.ua/i0810001</v>
      </c>
    </row>
    <row r="744" spans="2:7" ht="33.75" outlineLevel="3" x14ac:dyDescent="0.2">
      <c r="B744" s="14" t="s">
        <v>1419</v>
      </c>
      <c r="C744" s="14" t="s">
        <v>1420</v>
      </c>
      <c r="D744" s="14">
        <v>1</v>
      </c>
      <c r="E744" s="17">
        <v>87079.16</v>
      </c>
      <c r="F744" s="16" t="s">
        <v>8</v>
      </c>
      <c r="G744" s="38" t="str">
        <f>HYPERLINK("http://enext.ua/i0810002")</f>
        <v>http://enext.ua/i0810002</v>
      </c>
    </row>
    <row r="745" spans="2:7" ht="33.75" outlineLevel="3" x14ac:dyDescent="0.2">
      <c r="B745" s="14" t="s">
        <v>1421</v>
      </c>
      <c r="C745" s="14" t="s">
        <v>1422</v>
      </c>
      <c r="D745" s="14">
        <v>1</v>
      </c>
      <c r="E745" s="17">
        <v>133355.4</v>
      </c>
      <c r="F745" s="16" t="s">
        <v>8</v>
      </c>
      <c r="G745" s="38" t="str">
        <f>HYPERLINK("http://enext.ua/i0810003")</f>
        <v>http://enext.ua/i0810003</v>
      </c>
    </row>
    <row r="746" spans="2:7" ht="12" outlineLevel="2" x14ac:dyDescent="0.2">
      <c r="B746" s="8"/>
      <c r="C746" s="35" t="s">
        <v>1423</v>
      </c>
      <c r="D746" s="8"/>
      <c r="E746" s="9"/>
      <c r="F746" s="9"/>
      <c r="G746" s="8"/>
    </row>
    <row r="747" spans="2:7" ht="11.25" outlineLevel="3" x14ac:dyDescent="0.2">
      <c r="B747" s="14" t="s">
        <v>1424</v>
      </c>
      <c r="C747" s="14" t="s">
        <v>1425</v>
      </c>
      <c r="D747" s="14">
        <v>1</v>
      </c>
      <c r="E747" s="17">
        <v>10641.15</v>
      </c>
      <c r="F747" s="16" t="s">
        <v>8</v>
      </c>
      <c r="G747" s="38" t="str">
        <f>HYPERLINK("http://enext.ua/KM72E")</f>
        <v>http://enext.ua/KM72E</v>
      </c>
    </row>
    <row r="748" spans="2:7" ht="11.25" outlineLevel="3" x14ac:dyDescent="0.2">
      <c r="B748" s="14" t="s">
        <v>1426</v>
      </c>
      <c r="C748" s="14" t="s">
        <v>1427</v>
      </c>
      <c r="D748" s="14">
        <v>1</v>
      </c>
      <c r="E748" s="17">
        <v>26398.36</v>
      </c>
      <c r="F748" s="16" t="s">
        <v>8</v>
      </c>
      <c r="G748" s="38" t="str">
        <f>HYPERLINK("http://enext.ua/5210")</f>
        <v>http://enext.ua/5210</v>
      </c>
    </row>
    <row r="749" spans="2:7" ht="22.5" outlineLevel="3" x14ac:dyDescent="0.2">
      <c r="B749" s="14" t="s">
        <v>1428</v>
      </c>
      <c r="C749" s="14" t="s">
        <v>1429</v>
      </c>
      <c r="D749" s="14">
        <v>1</v>
      </c>
      <c r="E749" s="17">
        <v>60572.66</v>
      </c>
      <c r="F749" s="16" t="s">
        <v>8</v>
      </c>
      <c r="G749" s="38" t="str">
        <f>HYPERLINK("http://enext.ua/E00300030400H100")</f>
        <v>http://enext.ua/E00300030400H100</v>
      </c>
    </row>
    <row r="750" spans="2:7" ht="22.5" outlineLevel="3" x14ac:dyDescent="0.2">
      <c r="B750" s="14" t="s">
        <v>1430</v>
      </c>
      <c r="C750" s="14" t="s">
        <v>1431</v>
      </c>
      <c r="D750" s="14">
        <v>1</v>
      </c>
      <c r="E750" s="17">
        <v>197475.06</v>
      </c>
      <c r="F750" s="16" t="s">
        <v>8</v>
      </c>
      <c r="G750" s="38" t="str">
        <f>HYPERLINK("http://enext.ua/J04ATS03000301200H500")</f>
        <v>http://enext.ua/J04ATS03000301200H500</v>
      </c>
    </row>
    <row r="751" spans="2:7" ht="22.5" outlineLevel="3" x14ac:dyDescent="0.2">
      <c r="B751" s="14" t="s">
        <v>1432</v>
      </c>
      <c r="C751" s="14" t="s">
        <v>1433</v>
      </c>
      <c r="D751" s="14">
        <v>1</v>
      </c>
      <c r="E751" s="17">
        <v>83901.39</v>
      </c>
      <c r="F751" s="16" t="s">
        <v>8</v>
      </c>
      <c r="G751" s="38" t="str">
        <f>HYPERLINK("http://enext.ua/J04ATS0300030260H500")</f>
        <v>http://enext.ua/J04ATS0300030260H500</v>
      </c>
    </row>
    <row r="752" spans="2:7" ht="22.5" outlineLevel="3" x14ac:dyDescent="0.2">
      <c r="B752" s="14" t="s">
        <v>1434</v>
      </c>
      <c r="C752" s="14" t="s">
        <v>1435</v>
      </c>
      <c r="D752" s="14">
        <v>1</v>
      </c>
      <c r="E752" s="17">
        <v>84760.83</v>
      </c>
      <c r="F752" s="16" t="s">
        <v>8</v>
      </c>
      <c r="G752" s="38" t="str">
        <f>HYPERLINK("http://enext.ua/J04ATS0300030400H500")</f>
        <v>http://enext.ua/J04ATS0300030400H500</v>
      </c>
    </row>
    <row r="753" spans="2:7" ht="22.5" outlineLevel="3" x14ac:dyDescent="0.2">
      <c r="B753" s="14" t="s">
        <v>1436</v>
      </c>
      <c r="C753" s="14" t="s">
        <v>1437</v>
      </c>
      <c r="D753" s="14">
        <v>1</v>
      </c>
      <c r="E753" s="17">
        <v>171895.18</v>
      </c>
      <c r="F753" s="16" t="s">
        <v>8</v>
      </c>
      <c r="G753" s="38" t="str">
        <f>HYPERLINK("http://enext.ua/J04ATS0300030600H500")</f>
        <v>http://enext.ua/J04ATS0300030600H500</v>
      </c>
    </row>
    <row r="754" spans="2:7" ht="12" outlineLevel="1" x14ac:dyDescent="0.2">
      <c r="B754" s="6"/>
      <c r="C754" s="34" t="s">
        <v>1438</v>
      </c>
      <c r="D754" s="6"/>
      <c r="E754" s="7"/>
      <c r="F754" s="7"/>
      <c r="G754" s="6"/>
    </row>
    <row r="755" spans="2:7" ht="12" outlineLevel="2" x14ac:dyDescent="0.2">
      <c r="B755" s="8"/>
      <c r="C755" s="35" t="s">
        <v>1439</v>
      </c>
      <c r="D755" s="8"/>
      <c r="E755" s="9"/>
      <c r="F755" s="9"/>
      <c r="G755" s="8"/>
    </row>
    <row r="756" spans="2:7" ht="12" outlineLevel="3" x14ac:dyDescent="0.2">
      <c r="B756" s="10"/>
      <c r="C756" s="36" t="s">
        <v>1440</v>
      </c>
      <c r="D756" s="10"/>
      <c r="E756" s="11"/>
      <c r="F756" s="11"/>
      <c r="G756" s="10"/>
    </row>
    <row r="757" spans="2:7" ht="11.25" outlineLevel="4" x14ac:dyDescent="0.2">
      <c r="B757" s="14" t="s">
        <v>1441</v>
      </c>
      <c r="C757" s="14" t="s">
        <v>1442</v>
      </c>
      <c r="D757" s="14">
        <v>1</v>
      </c>
      <c r="E757" s="15">
        <v>249.26</v>
      </c>
      <c r="F757" s="16" t="s">
        <v>8</v>
      </c>
      <c r="G757" s="38" t="str">
        <f>HYPERLINK("http://enext.ua/i.0090001")</f>
        <v>http://enext.ua/i.0090001</v>
      </c>
    </row>
    <row r="758" spans="2:7" ht="11.25" outlineLevel="4" x14ac:dyDescent="0.2">
      <c r="B758" s="14" t="s">
        <v>1443</v>
      </c>
      <c r="C758" s="14" t="s">
        <v>1444</v>
      </c>
      <c r="D758" s="14">
        <v>1</v>
      </c>
      <c r="E758" s="15">
        <v>260.58999999999997</v>
      </c>
      <c r="F758" s="16" t="s">
        <v>8</v>
      </c>
      <c r="G758" s="38" t="str">
        <f>HYPERLINK("http://enext.ua/i.0090017")</f>
        <v>http://enext.ua/i.0090017</v>
      </c>
    </row>
    <row r="759" spans="2:7" ht="11.25" outlineLevel="4" x14ac:dyDescent="0.2">
      <c r="B759" s="14" t="s">
        <v>1445</v>
      </c>
      <c r="C759" s="14" t="s">
        <v>1446</v>
      </c>
      <c r="D759" s="14">
        <v>1</v>
      </c>
      <c r="E759" s="15">
        <v>290.05</v>
      </c>
      <c r="F759" s="16" t="s">
        <v>8</v>
      </c>
      <c r="G759" s="38" t="str">
        <f>HYPERLINK("http://enext.ua/i.0090018")</f>
        <v>http://enext.ua/i.0090018</v>
      </c>
    </row>
    <row r="760" spans="2:7" ht="11.25" outlineLevel="4" x14ac:dyDescent="0.2">
      <c r="B760" s="14" t="s">
        <v>1447</v>
      </c>
      <c r="C760" s="14" t="s">
        <v>1448</v>
      </c>
      <c r="D760" s="14">
        <v>1</v>
      </c>
      <c r="E760" s="15">
        <v>268.83</v>
      </c>
      <c r="F760" s="16" t="s">
        <v>8</v>
      </c>
      <c r="G760" s="38" t="str">
        <f>HYPERLINK("http://enext.ua/i.0090070")</f>
        <v>http://enext.ua/i.0090070</v>
      </c>
    </row>
    <row r="761" spans="2:7" ht="11.25" outlineLevel="4" x14ac:dyDescent="0.2">
      <c r="B761" s="14" t="s">
        <v>1449</v>
      </c>
      <c r="C761" s="14" t="s">
        <v>1450</v>
      </c>
      <c r="D761" s="14">
        <v>1</v>
      </c>
      <c r="E761" s="15">
        <v>231.65</v>
      </c>
      <c r="F761" s="16" t="s">
        <v>8</v>
      </c>
      <c r="G761" s="38" t="str">
        <f>HYPERLINK("http://enext.ua/i.0090071")</f>
        <v>http://enext.ua/i.0090071</v>
      </c>
    </row>
    <row r="762" spans="2:7" ht="11.25" outlineLevel="4" x14ac:dyDescent="0.2">
      <c r="B762" s="14" t="s">
        <v>1451</v>
      </c>
      <c r="C762" s="14" t="s">
        <v>1452</v>
      </c>
      <c r="D762" s="14">
        <v>1</v>
      </c>
      <c r="E762" s="15">
        <v>231.65</v>
      </c>
      <c r="F762" s="16" t="s">
        <v>8</v>
      </c>
      <c r="G762" s="38" t="str">
        <f>HYPERLINK("http://enext.ua/i.0090072")</f>
        <v>http://enext.ua/i.0090072</v>
      </c>
    </row>
    <row r="763" spans="2:7" ht="11.25" outlineLevel="4" x14ac:dyDescent="0.2">
      <c r="B763" s="14" t="s">
        <v>1453</v>
      </c>
      <c r="C763" s="14" t="s">
        <v>1454</v>
      </c>
      <c r="D763" s="14">
        <v>1</v>
      </c>
      <c r="E763" s="15">
        <v>231.65</v>
      </c>
      <c r="F763" s="16" t="s">
        <v>8</v>
      </c>
      <c r="G763" s="38" t="str">
        <f>HYPERLINK("http://enext.ua/i.0090073")</f>
        <v>http://enext.ua/i.0090073</v>
      </c>
    </row>
    <row r="764" spans="2:7" ht="11.25" outlineLevel="4" x14ac:dyDescent="0.2">
      <c r="B764" s="14" t="s">
        <v>1455</v>
      </c>
      <c r="C764" s="14" t="s">
        <v>1456</v>
      </c>
      <c r="D764" s="14">
        <v>1</v>
      </c>
      <c r="E764" s="15">
        <v>231.65</v>
      </c>
      <c r="F764" s="16" t="s">
        <v>8</v>
      </c>
      <c r="G764" s="38" t="str">
        <f>HYPERLINK("http://enext.ua/i.0090069")</f>
        <v>http://enext.ua/i.0090069</v>
      </c>
    </row>
    <row r="765" spans="2:7" ht="11.25" outlineLevel="4" x14ac:dyDescent="0.2">
      <c r="B765" s="14" t="s">
        <v>1457</v>
      </c>
      <c r="C765" s="14" t="s">
        <v>1458</v>
      </c>
      <c r="D765" s="14">
        <v>1</v>
      </c>
      <c r="E765" s="15">
        <v>231.65</v>
      </c>
      <c r="F765" s="16" t="s">
        <v>8</v>
      </c>
      <c r="G765" s="38" t="str">
        <f>HYPERLINK("http://enext.ua/i.0090058")</f>
        <v>http://enext.ua/i.0090058</v>
      </c>
    </row>
    <row r="766" spans="2:7" ht="11.25" outlineLevel="4" x14ac:dyDescent="0.2">
      <c r="B766" s="14" t="s">
        <v>1459</v>
      </c>
      <c r="C766" s="14" t="s">
        <v>1460</v>
      </c>
      <c r="D766" s="14">
        <v>1</v>
      </c>
      <c r="E766" s="15">
        <v>234.46</v>
      </c>
      <c r="F766" s="16" t="s">
        <v>8</v>
      </c>
      <c r="G766" s="38" t="str">
        <f>HYPERLINK("http://enext.ua/i.0090012")</f>
        <v>http://enext.ua/i.0090012</v>
      </c>
    </row>
    <row r="767" spans="2:7" ht="11.25" outlineLevel="4" x14ac:dyDescent="0.2">
      <c r="B767" s="14" t="s">
        <v>1461</v>
      </c>
      <c r="C767" s="14" t="s">
        <v>1462</v>
      </c>
      <c r="D767" s="14">
        <v>1</v>
      </c>
      <c r="E767" s="15">
        <v>234.46</v>
      </c>
      <c r="F767" s="16" t="s">
        <v>8</v>
      </c>
      <c r="G767" s="38" t="str">
        <f>HYPERLINK("http://enext.ua/i.0090044")</f>
        <v>http://enext.ua/i.0090044</v>
      </c>
    </row>
    <row r="768" spans="2:7" ht="11.25" outlineLevel="4" x14ac:dyDescent="0.2">
      <c r="B768" s="14" t="s">
        <v>1463</v>
      </c>
      <c r="C768" s="14" t="s">
        <v>1464</v>
      </c>
      <c r="D768" s="14">
        <v>1</v>
      </c>
      <c r="E768" s="15">
        <v>234.46</v>
      </c>
      <c r="F768" s="16" t="s">
        <v>8</v>
      </c>
      <c r="G768" s="38" t="str">
        <f>HYPERLINK("http://enext.ua/i.0090025")</f>
        <v>http://enext.ua/i.0090025</v>
      </c>
    </row>
    <row r="769" spans="2:7" ht="11.25" outlineLevel="4" x14ac:dyDescent="0.2">
      <c r="B769" s="14" t="s">
        <v>1465</v>
      </c>
      <c r="C769" s="14" t="s">
        <v>1466</v>
      </c>
      <c r="D769" s="14">
        <v>1</v>
      </c>
      <c r="E769" s="15">
        <v>234.46</v>
      </c>
      <c r="F769" s="16" t="s">
        <v>8</v>
      </c>
      <c r="G769" s="38" t="str">
        <f>HYPERLINK("http://enext.ua/i.0090002")</f>
        <v>http://enext.ua/i.0090002</v>
      </c>
    </row>
    <row r="770" spans="2:7" ht="11.25" outlineLevel="4" x14ac:dyDescent="0.2">
      <c r="B770" s="14" t="s">
        <v>1467</v>
      </c>
      <c r="C770" s="14" t="s">
        <v>1468</v>
      </c>
      <c r="D770" s="14">
        <v>1</v>
      </c>
      <c r="E770" s="15">
        <v>234.46</v>
      </c>
      <c r="F770" s="16" t="s">
        <v>8</v>
      </c>
      <c r="G770" s="38" t="str">
        <f>HYPERLINK("http://enext.ua/i.0090021")</f>
        <v>http://enext.ua/i.0090021</v>
      </c>
    </row>
    <row r="771" spans="2:7" ht="11.25" outlineLevel="4" x14ac:dyDescent="0.2">
      <c r="B771" s="14" t="s">
        <v>1469</v>
      </c>
      <c r="C771" s="14" t="s">
        <v>1470</v>
      </c>
      <c r="D771" s="14">
        <v>1</v>
      </c>
      <c r="E771" s="15">
        <v>290.58</v>
      </c>
      <c r="F771" s="16" t="s">
        <v>8</v>
      </c>
      <c r="G771" s="38" t="str">
        <f>HYPERLINK("http://enext.ua/i.0090074")</f>
        <v>http://enext.ua/i.0090074</v>
      </c>
    </row>
    <row r="772" spans="2:7" ht="11.25" outlineLevel="4" x14ac:dyDescent="0.2">
      <c r="B772" s="14" t="s">
        <v>1471</v>
      </c>
      <c r="C772" s="14" t="s">
        <v>1472</v>
      </c>
      <c r="D772" s="14">
        <v>1</v>
      </c>
      <c r="E772" s="15">
        <v>290.58</v>
      </c>
      <c r="F772" s="16" t="s">
        <v>8</v>
      </c>
      <c r="G772" s="38" t="str">
        <f>HYPERLINK("http://enext.ua/i.0090075")</f>
        <v>http://enext.ua/i.0090075</v>
      </c>
    </row>
    <row r="773" spans="2:7" ht="11.25" outlineLevel="4" x14ac:dyDescent="0.2">
      <c r="B773" s="14" t="s">
        <v>1473</v>
      </c>
      <c r="C773" s="14" t="s">
        <v>1474</v>
      </c>
      <c r="D773" s="14">
        <v>1</v>
      </c>
      <c r="E773" s="15">
        <v>290.58</v>
      </c>
      <c r="F773" s="16" t="s">
        <v>8</v>
      </c>
      <c r="G773" s="38" t="str">
        <f>HYPERLINK("http://enext.ua/i.0090076")</f>
        <v>http://enext.ua/i.0090076</v>
      </c>
    </row>
    <row r="774" spans="2:7" ht="11.25" outlineLevel="4" x14ac:dyDescent="0.2">
      <c r="B774" s="14" t="s">
        <v>1475</v>
      </c>
      <c r="C774" s="14" t="s">
        <v>1476</v>
      </c>
      <c r="D774" s="14">
        <v>1</v>
      </c>
      <c r="E774" s="15">
        <v>290.58</v>
      </c>
      <c r="F774" s="16" t="s">
        <v>8</v>
      </c>
      <c r="G774" s="38" t="str">
        <f>HYPERLINK("http://enext.ua/i.0090059")</f>
        <v>http://enext.ua/i.0090059</v>
      </c>
    </row>
    <row r="775" spans="2:7" ht="11.25" outlineLevel="4" x14ac:dyDescent="0.2">
      <c r="B775" s="14" t="s">
        <v>1477</v>
      </c>
      <c r="C775" s="14" t="s">
        <v>1478</v>
      </c>
      <c r="D775" s="14">
        <v>1</v>
      </c>
      <c r="E775" s="15">
        <v>290.58</v>
      </c>
      <c r="F775" s="16" t="s">
        <v>8</v>
      </c>
      <c r="G775" s="38" t="str">
        <f>HYPERLINK("http://enext.ua/i.0090060")</f>
        <v>http://enext.ua/i.0090060</v>
      </c>
    </row>
    <row r="776" spans="2:7" ht="11.25" outlineLevel="4" x14ac:dyDescent="0.2">
      <c r="B776" s="14" t="s">
        <v>1479</v>
      </c>
      <c r="C776" s="14" t="s">
        <v>1480</v>
      </c>
      <c r="D776" s="14">
        <v>1</v>
      </c>
      <c r="E776" s="15">
        <v>370.61</v>
      </c>
      <c r="F776" s="16" t="s">
        <v>8</v>
      </c>
      <c r="G776" s="38" t="str">
        <f>HYPERLINK("http://enext.ua/i.0090077")</f>
        <v>http://enext.ua/i.0090077</v>
      </c>
    </row>
    <row r="777" spans="2:7" ht="11.25" outlineLevel="4" x14ac:dyDescent="0.2">
      <c r="B777" s="14" t="s">
        <v>1481</v>
      </c>
      <c r="C777" s="14" t="s">
        <v>1482</v>
      </c>
      <c r="D777" s="14">
        <v>1</v>
      </c>
      <c r="E777" s="15">
        <v>370.61</v>
      </c>
      <c r="F777" s="16" t="s">
        <v>8</v>
      </c>
      <c r="G777" s="38" t="str">
        <f>HYPERLINK("http://enext.ua/i.0090078")</f>
        <v>http://enext.ua/i.0090078</v>
      </c>
    </row>
    <row r="778" spans="2:7" ht="11.25" outlineLevel="4" x14ac:dyDescent="0.2">
      <c r="B778" s="14" t="s">
        <v>1483</v>
      </c>
      <c r="C778" s="14" t="s">
        <v>1484</v>
      </c>
      <c r="D778" s="14">
        <v>1</v>
      </c>
      <c r="E778" s="15">
        <v>370.61</v>
      </c>
      <c r="F778" s="16" t="s">
        <v>8</v>
      </c>
      <c r="G778" s="38" t="str">
        <f>HYPERLINK("http://enext.ua/i.0090079")</f>
        <v>http://enext.ua/i.0090079</v>
      </c>
    </row>
    <row r="779" spans="2:7" ht="11.25" outlineLevel="4" x14ac:dyDescent="0.2">
      <c r="B779" s="14" t="s">
        <v>1485</v>
      </c>
      <c r="C779" s="14" t="s">
        <v>1486</v>
      </c>
      <c r="D779" s="14">
        <v>1</v>
      </c>
      <c r="E779" s="15">
        <v>370.61</v>
      </c>
      <c r="F779" s="16" t="s">
        <v>8</v>
      </c>
      <c r="G779" s="38" t="str">
        <f>HYPERLINK("http://enext.ua/i.0090061")</f>
        <v>http://enext.ua/i.0090061</v>
      </c>
    </row>
    <row r="780" spans="2:7" ht="11.25" outlineLevel="4" x14ac:dyDescent="0.2">
      <c r="B780" s="14" t="s">
        <v>1487</v>
      </c>
      <c r="C780" s="14" t="s">
        <v>1488</v>
      </c>
      <c r="D780" s="14">
        <v>1</v>
      </c>
      <c r="E780" s="15">
        <v>370.61</v>
      </c>
      <c r="F780" s="16" t="s">
        <v>8</v>
      </c>
      <c r="G780" s="38" t="str">
        <f>HYPERLINK("http://enext.ua/i.0090062")</f>
        <v>http://enext.ua/i.0090062</v>
      </c>
    </row>
    <row r="781" spans="2:7" ht="11.25" outlineLevel="4" x14ac:dyDescent="0.2">
      <c r="B781" s="14" t="s">
        <v>1489</v>
      </c>
      <c r="C781" s="14" t="s">
        <v>1490</v>
      </c>
      <c r="D781" s="14">
        <v>1</v>
      </c>
      <c r="E781" s="15">
        <v>489.15</v>
      </c>
      <c r="F781" s="16" t="s">
        <v>8</v>
      </c>
      <c r="G781" s="38" t="str">
        <f>HYPERLINK("http://enext.ua/i.0090028")</f>
        <v>http://enext.ua/i.0090028</v>
      </c>
    </row>
    <row r="782" spans="2:7" ht="11.25" outlineLevel="4" x14ac:dyDescent="0.2">
      <c r="B782" s="14" t="s">
        <v>1491</v>
      </c>
      <c r="C782" s="14" t="s">
        <v>1492</v>
      </c>
      <c r="D782" s="14">
        <v>1</v>
      </c>
      <c r="E782" s="15">
        <v>489.15</v>
      </c>
      <c r="F782" s="16" t="s">
        <v>8</v>
      </c>
      <c r="G782" s="38" t="str">
        <f>HYPERLINK("http://enext.ua/i.0090080")</f>
        <v>http://enext.ua/i.0090080</v>
      </c>
    </row>
    <row r="783" spans="2:7" ht="11.25" outlineLevel="4" x14ac:dyDescent="0.2">
      <c r="B783" s="14" t="s">
        <v>1493</v>
      </c>
      <c r="C783" s="14" t="s">
        <v>1494</v>
      </c>
      <c r="D783" s="14">
        <v>1</v>
      </c>
      <c r="E783" s="15">
        <v>489.15</v>
      </c>
      <c r="F783" s="16" t="s">
        <v>8</v>
      </c>
      <c r="G783" s="38" t="str">
        <f>HYPERLINK("http://enext.ua/i.0090029")</f>
        <v>http://enext.ua/i.0090029</v>
      </c>
    </row>
    <row r="784" spans="2:7" ht="11.25" outlineLevel="4" x14ac:dyDescent="0.2">
      <c r="B784" s="14" t="s">
        <v>1495</v>
      </c>
      <c r="C784" s="14" t="s">
        <v>1496</v>
      </c>
      <c r="D784" s="14">
        <v>1</v>
      </c>
      <c r="E784" s="15">
        <v>489.15</v>
      </c>
      <c r="F784" s="16" t="s">
        <v>8</v>
      </c>
      <c r="G784" s="38" t="str">
        <f>HYPERLINK("http://enext.ua/i.0090030")</f>
        <v>http://enext.ua/i.0090030</v>
      </c>
    </row>
    <row r="785" spans="2:7" ht="11.25" outlineLevel="4" x14ac:dyDescent="0.2">
      <c r="B785" s="14" t="s">
        <v>1497</v>
      </c>
      <c r="C785" s="14" t="s">
        <v>1498</v>
      </c>
      <c r="D785" s="14">
        <v>1</v>
      </c>
      <c r="E785" s="15">
        <v>489.15</v>
      </c>
      <c r="F785" s="16" t="s">
        <v>8</v>
      </c>
      <c r="G785" s="38" t="str">
        <f>HYPERLINK("http://enext.ua/i.0090031")</f>
        <v>http://enext.ua/i.0090031</v>
      </c>
    </row>
    <row r="786" spans="2:7" ht="11.25" outlineLevel="4" x14ac:dyDescent="0.2">
      <c r="B786" s="14" t="s">
        <v>1499</v>
      </c>
      <c r="C786" s="14" t="s">
        <v>1500</v>
      </c>
      <c r="D786" s="14">
        <v>1</v>
      </c>
      <c r="E786" s="15">
        <v>849.76</v>
      </c>
      <c r="F786" s="16" t="s">
        <v>8</v>
      </c>
      <c r="G786" s="38" t="str">
        <f>HYPERLINK("http://enext.ua/i.0090013")</f>
        <v>http://enext.ua/i.0090013</v>
      </c>
    </row>
    <row r="787" spans="2:7" ht="11.25" outlineLevel="4" x14ac:dyDescent="0.2">
      <c r="B787" s="14" t="s">
        <v>1501</v>
      </c>
      <c r="C787" s="14" t="s">
        <v>1502</v>
      </c>
      <c r="D787" s="14">
        <v>1</v>
      </c>
      <c r="E787" s="15">
        <v>849.76</v>
      </c>
      <c r="F787" s="16" t="s">
        <v>8</v>
      </c>
      <c r="G787" s="38" t="str">
        <f>HYPERLINK("http://enext.ua/i.0090047")</f>
        <v>http://enext.ua/i.0090047</v>
      </c>
    </row>
    <row r="788" spans="2:7" ht="11.25" outlineLevel="4" x14ac:dyDescent="0.2">
      <c r="B788" s="14" t="s">
        <v>1503</v>
      </c>
      <c r="C788" s="14" t="s">
        <v>1504</v>
      </c>
      <c r="D788" s="14">
        <v>1</v>
      </c>
      <c r="E788" s="15">
        <v>849.76</v>
      </c>
      <c r="F788" s="16" t="s">
        <v>8</v>
      </c>
      <c r="G788" s="38" t="str">
        <f>HYPERLINK("http://enext.ua/i.0090026")</f>
        <v>http://enext.ua/i.0090026</v>
      </c>
    </row>
    <row r="789" spans="2:7" ht="11.25" outlineLevel="4" x14ac:dyDescent="0.2">
      <c r="B789" s="14" t="s">
        <v>1505</v>
      </c>
      <c r="C789" s="14" t="s">
        <v>1506</v>
      </c>
      <c r="D789" s="14">
        <v>1</v>
      </c>
      <c r="E789" s="15">
        <v>849.76</v>
      </c>
      <c r="F789" s="16" t="s">
        <v>8</v>
      </c>
      <c r="G789" s="38" t="str">
        <f>HYPERLINK("http://enext.ua/i.0090004")</f>
        <v>http://enext.ua/i.0090004</v>
      </c>
    </row>
    <row r="790" spans="2:7" ht="11.25" outlineLevel="4" x14ac:dyDescent="0.2">
      <c r="B790" s="14" t="s">
        <v>1507</v>
      </c>
      <c r="C790" s="14" t="s">
        <v>1508</v>
      </c>
      <c r="D790" s="14">
        <v>1</v>
      </c>
      <c r="E790" s="15">
        <v>849.76</v>
      </c>
      <c r="F790" s="16" t="s">
        <v>8</v>
      </c>
      <c r="G790" s="38" t="str">
        <f>HYPERLINK("http://enext.ua/i.0090011")</f>
        <v>http://enext.ua/i.0090011</v>
      </c>
    </row>
    <row r="791" spans="2:7" ht="11.25" outlineLevel="4" x14ac:dyDescent="0.2">
      <c r="B791" s="14" t="s">
        <v>1509</v>
      </c>
      <c r="C791" s="14" t="s">
        <v>1510</v>
      </c>
      <c r="D791" s="14">
        <v>1</v>
      </c>
      <c r="E791" s="17">
        <v>1042.02</v>
      </c>
      <c r="F791" s="16" t="s">
        <v>8</v>
      </c>
      <c r="G791" s="38" t="str">
        <f>HYPERLINK("http://enext.ua/i.0090032")</f>
        <v>http://enext.ua/i.0090032</v>
      </c>
    </row>
    <row r="792" spans="2:7" ht="11.25" outlineLevel="4" x14ac:dyDescent="0.2">
      <c r="B792" s="14" t="s">
        <v>1511</v>
      </c>
      <c r="C792" s="14" t="s">
        <v>1512</v>
      </c>
      <c r="D792" s="14">
        <v>1</v>
      </c>
      <c r="E792" s="17">
        <v>1042.02</v>
      </c>
      <c r="F792" s="16" t="s">
        <v>8</v>
      </c>
      <c r="G792" s="14"/>
    </row>
    <row r="793" spans="2:7" ht="11.25" outlineLevel="4" x14ac:dyDescent="0.2">
      <c r="B793" s="14" t="s">
        <v>1513</v>
      </c>
      <c r="C793" s="14" t="s">
        <v>1514</v>
      </c>
      <c r="D793" s="14">
        <v>1</v>
      </c>
      <c r="E793" s="17">
        <v>1042.02</v>
      </c>
      <c r="F793" s="16" t="s">
        <v>8</v>
      </c>
      <c r="G793" s="38" t="str">
        <f>HYPERLINK("http://enext.ua/i.0090033")</f>
        <v>http://enext.ua/i.0090033</v>
      </c>
    </row>
    <row r="794" spans="2:7" ht="11.25" outlineLevel="4" x14ac:dyDescent="0.2">
      <c r="B794" s="14" t="s">
        <v>1515</v>
      </c>
      <c r="C794" s="14" t="s">
        <v>1516</v>
      </c>
      <c r="D794" s="14">
        <v>1</v>
      </c>
      <c r="E794" s="17">
        <v>1042.02</v>
      </c>
      <c r="F794" s="16" t="s">
        <v>8</v>
      </c>
      <c r="G794" s="38" t="str">
        <f>HYPERLINK("http://enext.ua/i.0090034")</f>
        <v>http://enext.ua/i.0090034</v>
      </c>
    </row>
    <row r="795" spans="2:7" ht="11.25" outlineLevel="4" x14ac:dyDescent="0.2">
      <c r="B795" s="14" t="s">
        <v>1517</v>
      </c>
      <c r="C795" s="14" t="s">
        <v>1518</v>
      </c>
      <c r="D795" s="14">
        <v>1</v>
      </c>
      <c r="E795" s="17">
        <v>1042.02</v>
      </c>
      <c r="F795" s="16" t="s">
        <v>8</v>
      </c>
      <c r="G795" s="38" t="str">
        <f>HYPERLINK("http://enext.ua/i.0090035")</f>
        <v>http://enext.ua/i.0090035</v>
      </c>
    </row>
    <row r="796" spans="2:7" ht="11.25" outlineLevel="4" x14ac:dyDescent="0.2">
      <c r="B796" s="14" t="s">
        <v>1519</v>
      </c>
      <c r="C796" s="14" t="s">
        <v>1520</v>
      </c>
      <c r="D796" s="14">
        <v>1</v>
      </c>
      <c r="E796" s="17">
        <v>1121.56</v>
      </c>
      <c r="F796" s="16" t="s">
        <v>8</v>
      </c>
      <c r="G796" s="38" t="str">
        <f>HYPERLINK("http://enext.ua/i.0090036")</f>
        <v>http://enext.ua/i.0090036</v>
      </c>
    </row>
    <row r="797" spans="2:7" ht="11.25" outlineLevel="4" x14ac:dyDescent="0.2">
      <c r="B797" s="14" t="s">
        <v>1521</v>
      </c>
      <c r="C797" s="14" t="s">
        <v>1522</v>
      </c>
      <c r="D797" s="14">
        <v>1</v>
      </c>
      <c r="E797" s="17">
        <v>1121.56</v>
      </c>
      <c r="F797" s="16" t="s">
        <v>8</v>
      </c>
      <c r="G797" s="38" t="str">
        <f>HYPERLINK("http://enext.ua/i.0090054")</f>
        <v>http://enext.ua/i.0090054</v>
      </c>
    </row>
    <row r="798" spans="2:7" ht="11.25" outlineLevel="4" x14ac:dyDescent="0.2">
      <c r="B798" s="14" t="s">
        <v>1523</v>
      </c>
      <c r="C798" s="14" t="s">
        <v>1524</v>
      </c>
      <c r="D798" s="14">
        <v>1</v>
      </c>
      <c r="E798" s="17">
        <v>1121.56</v>
      </c>
      <c r="F798" s="16" t="s">
        <v>8</v>
      </c>
      <c r="G798" s="38" t="str">
        <f>HYPERLINK("http://enext.ua/i.0090037")</f>
        <v>http://enext.ua/i.0090037</v>
      </c>
    </row>
    <row r="799" spans="2:7" ht="11.25" outlineLevel="4" x14ac:dyDescent="0.2">
      <c r="B799" s="14" t="s">
        <v>1525</v>
      </c>
      <c r="C799" s="14" t="s">
        <v>1526</v>
      </c>
      <c r="D799" s="14">
        <v>1</v>
      </c>
      <c r="E799" s="17">
        <v>1121.56</v>
      </c>
      <c r="F799" s="16" t="s">
        <v>8</v>
      </c>
      <c r="G799" s="38" t="str">
        <f>HYPERLINK("http://enext.ua/i.0090038")</f>
        <v>http://enext.ua/i.0090038</v>
      </c>
    </row>
    <row r="800" spans="2:7" ht="11.25" outlineLevel="4" x14ac:dyDescent="0.2">
      <c r="B800" s="14" t="s">
        <v>1527</v>
      </c>
      <c r="C800" s="14" t="s">
        <v>1528</v>
      </c>
      <c r="D800" s="14">
        <v>1</v>
      </c>
      <c r="E800" s="17">
        <v>1121.56</v>
      </c>
      <c r="F800" s="16" t="s">
        <v>8</v>
      </c>
      <c r="G800" s="38" t="str">
        <f>HYPERLINK("http://enext.ua/i.0090039")</f>
        <v>http://enext.ua/i.0090039</v>
      </c>
    </row>
    <row r="801" spans="2:7" ht="11.25" outlineLevel="4" x14ac:dyDescent="0.2">
      <c r="B801" s="14" t="s">
        <v>1529</v>
      </c>
      <c r="C801" s="14" t="s">
        <v>1530</v>
      </c>
      <c r="D801" s="14">
        <v>1</v>
      </c>
      <c r="E801" s="17">
        <v>1485.56</v>
      </c>
      <c r="F801" s="16" t="s">
        <v>8</v>
      </c>
      <c r="G801" s="38" t="str">
        <f>HYPERLINK("http://enext.ua/i.0090040")</f>
        <v>http://enext.ua/i.0090040</v>
      </c>
    </row>
    <row r="802" spans="2:7" ht="11.25" outlineLevel="4" x14ac:dyDescent="0.2">
      <c r="B802" s="14" t="s">
        <v>1531</v>
      </c>
      <c r="C802" s="14" t="s">
        <v>1532</v>
      </c>
      <c r="D802" s="14">
        <v>1</v>
      </c>
      <c r="E802" s="17">
        <v>1485.56</v>
      </c>
      <c r="F802" s="16" t="s">
        <v>8</v>
      </c>
      <c r="G802" s="38" t="str">
        <f>HYPERLINK("http://enext.ua/i.0090081")</f>
        <v>http://enext.ua/i.0090081</v>
      </c>
    </row>
    <row r="803" spans="2:7" ht="11.25" outlineLevel="4" x14ac:dyDescent="0.2">
      <c r="B803" s="14" t="s">
        <v>1533</v>
      </c>
      <c r="C803" s="14" t="s">
        <v>1534</v>
      </c>
      <c r="D803" s="14">
        <v>1</v>
      </c>
      <c r="E803" s="17">
        <v>1485.56</v>
      </c>
      <c r="F803" s="16" t="s">
        <v>8</v>
      </c>
      <c r="G803" s="38" t="str">
        <f>HYPERLINK("http://enext.ua/i.0090041")</f>
        <v>http://enext.ua/i.0090041</v>
      </c>
    </row>
    <row r="804" spans="2:7" ht="11.25" outlineLevel="4" x14ac:dyDescent="0.2">
      <c r="B804" s="14" t="s">
        <v>1535</v>
      </c>
      <c r="C804" s="14" t="s">
        <v>1536</v>
      </c>
      <c r="D804" s="14">
        <v>1</v>
      </c>
      <c r="E804" s="17">
        <v>1485.56</v>
      </c>
      <c r="F804" s="16" t="s">
        <v>8</v>
      </c>
      <c r="G804" s="38" t="str">
        <f>HYPERLINK("http://enext.ua/i.0090042")</f>
        <v>http://enext.ua/i.0090042</v>
      </c>
    </row>
    <row r="805" spans="2:7" ht="11.25" outlineLevel="4" x14ac:dyDescent="0.2">
      <c r="B805" s="14" t="s">
        <v>1537</v>
      </c>
      <c r="C805" s="14" t="s">
        <v>1538</v>
      </c>
      <c r="D805" s="14">
        <v>1</v>
      </c>
      <c r="E805" s="17">
        <v>1485.56</v>
      </c>
      <c r="F805" s="16" t="s">
        <v>8</v>
      </c>
      <c r="G805" s="38" t="str">
        <f>HYPERLINK("http://enext.ua/i.0090043")</f>
        <v>http://enext.ua/i.0090043</v>
      </c>
    </row>
    <row r="806" spans="2:7" ht="11.25" outlineLevel="4" x14ac:dyDescent="0.2">
      <c r="B806" s="14" t="s">
        <v>1539</v>
      </c>
      <c r="C806" s="14" t="s">
        <v>1540</v>
      </c>
      <c r="D806" s="14">
        <v>1</v>
      </c>
      <c r="E806" s="17">
        <v>1489.74</v>
      </c>
      <c r="F806" s="16" t="s">
        <v>8</v>
      </c>
      <c r="G806" s="38" t="str">
        <f>HYPERLINK("http://enext.ua/i.0090020")</f>
        <v>http://enext.ua/i.0090020</v>
      </c>
    </row>
    <row r="807" spans="2:7" ht="11.25" outlineLevel="4" x14ac:dyDescent="0.2">
      <c r="B807" s="14" t="s">
        <v>1541</v>
      </c>
      <c r="C807" s="14" t="s">
        <v>1542</v>
      </c>
      <c r="D807" s="14">
        <v>1</v>
      </c>
      <c r="E807" s="17">
        <v>1489.74</v>
      </c>
      <c r="F807" s="16" t="s">
        <v>8</v>
      </c>
      <c r="G807" s="38" t="str">
        <f>HYPERLINK("http://enext.ua/i.0090052")</f>
        <v>http://enext.ua/i.0090052</v>
      </c>
    </row>
    <row r="808" spans="2:7" ht="11.25" outlineLevel="4" x14ac:dyDescent="0.2">
      <c r="B808" s="14" t="s">
        <v>1543</v>
      </c>
      <c r="C808" s="14" t="s">
        <v>1544</v>
      </c>
      <c r="D808" s="14">
        <v>1</v>
      </c>
      <c r="E808" s="17">
        <v>1489.74</v>
      </c>
      <c r="F808" s="16" t="s">
        <v>8</v>
      </c>
      <c r="G808" s="38" t="str">
        <f>HYPERLINK("http://enext.ua/i.0090010")</f>
        <v>http://enext.ua/i.0090010</v>
      </c>
    </row>
    <row r="809" spans="2:7" ht="11.25" outlineLevel="4" x14ac:dyDescent="0.2">
      <c r="B809" s="14" t="s">
        <v>1545</v>
      </c>
      <c r="C809" s="14" t="s">
        <v>1546</v>
      </c>
      <c r="D809" s="14">
        <v>1</v>
      </c>
      <c r="E809" s="17">
        <v>1489.74</v>
      </c>
      <c r="F809" s="16" t="s">
        <v>8</v>
      </c>
      <c r="G809" s="38" t="str">
        <f>HYPERLINK("http://enext.ua/i.0090005")</f>
        <v>http://enext.ua/i.0090005</v>
      </c>
    </row>
    <row r="810" spans="2:7" ht="11.25" outlineLevel="4" x14ac:dyDescent="0.2">
      <c r="B810" s="14" t="s">
        <v>1547</v>
      </c>
      <c r="C810" s="14" t="s">
        <v>1548</v>
      </c>
      <c r="D810" s="14">
        <v>1</v>
      </c>
      <c r="E810" s="17">
        <v>1489.74</v>
      </c>
      <c r="F810" s="16" t="s">
        <v>8</v>
      </c>
      <c r="G810" s="38" t="str">
        <f>HYPERLINK("http://enext.ua/i.0090023")</f>
        <v>http://enext.ua/i.0090023</v>
      </c>
    </row>
    <row r="811" spans="2:7" ht="11.25" outlineLevel="4" x14ac:dyDescent="0.2">
      <c r="B811" s="14" t="s">
        <v>1549</v>
      </c>
      <c r="C811" s="14" t="s">
        <v>1550</v>
      </c>
      <c r="D811" s="14">
        <v>1</v>
      </c>
      <c r="E811" s="17">
        <v>3097.04</v>
      </c>
      <c r="F811" s="16" t="s">
        <v>8</v>
      </c>
      <c r="G811" s="38" t="str">
        <f>HYPERLINK("http://enext.ua/i.0090048")</f>
        <v>http://enext.ua/i.0090048</v>
      </c>
    </row>
    <row r="812" spans="2:7" ht="11.25" outlineLevel="4" x14ac:dyDescent="0.2">
      <c r="B812" s="14" t="s">
        <v>1551</v>
      </c>
      <c r="C812" s="14" t="s">
        <v>1552</v>
      </c>
      <c r="D812" s="14">
        <v>1</v>
      </c>
      <c r="E812" s="17">
        <v>3097.04</v>
      </c>
      <c r="F812" s="16" t="s">
        <v>8</v>
      </c>
      <c r="G812" s="38" t="str">
        <f>HYPERLINK("http://enext.ua/i.0090049")</f>
        <v>http://enext.ua/i.0090049</v>
      </c>
    </row>
    <row r="813" spans="2:7" ht="11.25" outlineLevel="4" x14ac:dyDescent="0.2">
      <c r="B813" s="14" t="s">
        <v>1553</v>
      </c>
      <c r="C813" s="14" t="s">
        <v>1554</v>
      </c>
      <c r="D813" s="14">
        <v>1</v>
      </c>
      <c r="E813" s="17">
        <v>3097.04</v>
      </c>
      <c r="F813" s="16" t="s">
        <v>8</v>
      </c>
      <c r="G813" s="38" t="str">
        <f>HYPERLINK("http://enext.ua/i.0090050")</f>
        <v>http://enext.ua/i.0090050</v>
      </c>
    </row>
    <row r="814" spans="2:7" ht="11.25" outlineLevel="4" x14ac:dyDescent="0.2">
      <c r="B814" s="14" t="s">
        <v>1555</v>
      </c>
      <c r="C814" s="14" t="s">
        <v>1556</v>
      </c>
      <c r="D814" s="14">
        <v>1</v>
      </c>
      <c r="E814" s="17">
        <v>3686.18</v>
      </c>
      <c r="F814" s="16" t="s">
        <v>8</v>
      </c>
      <c r="G814" s="38" t="str">
        <f>HYPERLINK("http://enext.ua/i.0090053")</f>
        <v>http://enext.ua/i.0090053</v>
      </c>
    </row>
    <row r="815" spans="2:7" ht="11.25" outlineLevel="4" x14ac:dyDescent="0.2">
      <c r="B815" s="14" t="s">
        <v>1557</v>
      </c>
      <c r="C815" s="14" t="s">
        <v>1558</v>
      </c>
      <c r="D815" s="14">
        <v>1</v>
      </c>
      <c r="E815" s="17">
        <v>3686.18</v>
      </c>
      <c r="F815" s="16" t="s">
        <v>8</v>
      </c>
      <c r="G815" s="38" t="str">
        <f>HYPERLINK("http://enext.ua/i.0090006")</f>
        <v>http://enext.ua/i.0090006</v>
      </c>
    </row>
    <row r="816" spans="2:7" ht="11.25" outlineLevel="4" x14ac:dyDescent="0.2">
      <c r="B816" s="14" t="s">
        <v>1559</v>
      </c>
      <c r="C816" s="14" t="s">
        <v>1560</v>
      </c>
      <c r="D816" s="14">
        <v>1</v>
      </c>
      <c r="E816" s="17">
        <v>3686.18</v>
      </c>
      <c r="F816" s="16" t="s">
        <v>8</v>
      </c>
      <c r="G816" s="38" t="str">
        <f>HYPERLINK("http://enext.ua/i.0090051")</f>
        <v>http://enext.ua/i.0090051</v>
      </c>
    </row>
    <row r="817" spans="2:7" ht="11.25" outlineLevel="4" x14ac:dyDescent="0.2">
      <c r="B817" s="14" t="s">
        <v>1561</v>
      </c>
      <c r="C817" s="14" t="s">
        <v>1562</v>
      </c>
      <c r="D817" s="14">
        <v>1</v>
      </c>
      <c r="E817" s="17">
        <v>4635.79</v>
      </c>
      <c r="F817" s="16" t="s">
        <v>8</v>
      </c>
      <c r="G817" s="38" t="str">
        <f>HYPERLINK("http://enext.ua/i.0090024")</f>
        <v>http://enext.ua/i.0090024</v>
      </c>
    </row>
    <row r="818" spans="2:7" ht="11.25" outlineLevel="4" x14ac:dyDescent="0.2">
      <c r="B818" s="14" t="s">
        <v>1563</v>
      </c>
      <c r="C818" s="14" t="s">
        <v>1564</v>
      </c>
      <c r="D818" s="14">
        <v>1</v>
      </c>
      <c r="E818" s="17">
        <v>4635.79</v>
      </c>
      <c r="F818" s="16" t="s">
        <v>8</v>
      </c>
      <c r="G818" s="38" t="str">
        <f>HYPERLINK("http://enext.ua/i.0090007")</f>
        <v>http://enext.ua/i.0090007</v>
      </c>
    </row>
    <row r="819" spans="2:7" ht="11.25" outlineLevel="4" x14ac:dyDescent="0.2">
      <c r="B819" s="14" t="s">
        <v>1565</v>
      </c>
      <c r="C819" s="14" t="s">
        <v>1566</v>
      </c>
      <c r="D819" s="14">
        <v>1</v>
      </c>
      <c r="E819" s="17">
        <v>4635.79</v>
      </c>
      <c r="F819" s="16" t="s">
        <v>8</v>
      </c>
      <c r="G819" s="38" t="str">
        <f>HYPERLINK("http://enext.ua/i.0090056")</f>
        <v>http://enext.ua/i.0090056</v>
      </c>
    </row>
    <row r="820" spans="2:7" ht="11.25" outlineLevel="4" x14ac:dyDescent="0.2">
      <c r="B820" s="14" t="s">
        <v>1567</v>
      </c>
      <c r="C820" s="14" t="s">
        <v>1568</v>
      </c>
      <c r="D820" s="14">
        <v>1</v>
      </c>
      <c r="E820" s="17">
        <v>6529.79</v>
      </c>
      <c r="F820" s="16" t="s">
        <v>8</v>
      </c>
      <c r="G820" s="14"/>
    </row>
    <row r="821" spans="2:7" ht="11.25" outlineLevel="4" x14ac:dyDescent="0.2">
      <c r="B821" s="14" t="s">
        <v>1569</v>
      </c>
      <c r="C821" s="14" t="s">
        <v>1570</v>
      </c>
      <c r="D821" s="14">
        <v>1</v>
      </c>
      <c r="E821" s="17">
        <v>6529.85</v>
      </c>
      <c r="F821" s="16" t="s">
        <v>8</v>
      </c>
      <c r="G821" s="38" t="str">
        <f>HYPERLINK("http://enext.ua/i.0090063")</f>
        <v>http://enext.ua/i.0090063</v>
      </c>
    </row>
    <row r="822" spans="2:7" ht="11.25" outlineLevel="4" x14ac:dyDescent="0.2">
      <c r="B822" s="14" t="s">
        <v>1571</v>
      </c>
      <c r="C822" s="14" t="s">
        <v>1572</v>
      </c>
      <c r="D822" s="14">
        <v>1</v>
      </c>
      <c r="E822" s="17">
        <v>6529.85</v>
      </c>
      <c r="F822" s="16" t="s">
        <v>8</v>
      </c>
      <c r="G822" s="38" t="str">
        <f>HYPERLINK("http://enext.ua/i.0090064")</f>
        <v>http://enext.ua/i.0090064</v>
      </c>
    </row>
    <row r="823" spans="2:7" ht="11.25" outlineLevel="4" x14ac:dyDescent="0.2">
      <c r="B823" s="14" t="s">
        <v>1573</v>
      </c>
      <c r="C823" s="14" t="s">
        <v>1574</v>
      </c>
      <c r="D823" s="14">
        <v>1</v>
      </c>
      <c r="E823" s="17">
        <v>7286.3</v>
      </c>
      <c r="F823" s="16" t="s">
        <v>8</v>
      </c>
      <c r="G823" s="38" t="str">
        <f>HYPERLINK("http://enext.ua/i.0090057")</f>
        <v>http://enext.ua/i.0090057</v>
      </c>
    </row>
    <row r="824" spans="2:7" ht="11.25" outlineLevel="4" x14ac:dyDescent="0.2">
      <c r="B824" s="14" t="s">
        <v>1575</v>
      </c>
      <c r="C824" s="14" t="s">
        <v>1576</v>
      </c>
      <c r="D824" s="14">
        <v>1</v>
      </c>
      <c r="E824" s="17">
        <v>7286.38</v>
      </c>
      <c r="F824" s="16" t="s">
        <v>8</v>
      </c>
      <c r="G824" s="38" t="str">
        <f>HYPERLINK("http://enext.ua/i.0090008")</f>
        <v>http://enext.ua/i.0090008</v>
      </c>
    </row>
    <row r="825" spans="2:7" ht="11.25" outlineLevel="4" x14ac:dyDescent="0.2">
      <c r="B825" s="14" t="s">
        <v>1577</v>
      </c>
      <c r="C825" s="14" t="s">
        <v>1578</v>
      </c>
      <c r="D825" s="14">
        <v>1</v>
      </c>
      <c r="E825" s="17">
        <v>7286.38</v>
      </c>
      <c r="F825" s="16" t="s">
        <v>8</v>
      </c>
      <c r="G825" s="38" t="str">
        <f>HYPERLINK("http://enext.ua/i.0090027")</f>
        <v>http://enext.ua/i.0090027</v>
      </c>
    </row>
    <row r="826" spans="2:7" ht="11.25" outlineLevel="4" x14ac:dyDescent="0.2">
      <c r="B826" s="14" t="s">
        <v>1579</v>
      </c>
      <c r="C826" s="14" t="s">
        <v>1580</v>
      </c>
      <c r="D826" s="14">
        <v>1</v>
      </c>
      <c r="E826" s="17">
        <v>10027.719999999999</v>
      </c>
      <c r="F826" s="16" t="s">
        <v>8</v>
      </c>
      <c r="G826" s="38" t="str">
        <f>HYPERLINK("http://enext.ua/i.0090065")</f>
        <v>http://enext.ua/i.0090065</v>
      </c>
    </row>
    <row r="827" spans="2:7" ht="11.25" outlineLevel="4" x14ac:dyDescent="0.2">
      <c r="B827" s="14" t="s">
        <v>1581</v>
      </c>
      <c r="C827" s="14" t="s">
        <v>1582</v>
      </c>
      <c r="D827" s="14">
        <v>1</v>
      </c>
      <c r="E827" s="17">
        <v>10027.719999999999</v>
      </c>
      <c r="F827" s="16" t="s">
        <v>8</v>
      </c>
      <c r="G827" s="38" t="str">
        <f>HYPERLINK("http://enext.ua/i.0090066")</f>
        <v>http://enext.ua/i.0090066</v>
      </c>
    </row>
    <row r="828" spans="2:7" ht="11.25" outlineLevel="4" x14ac:dyDescent="0.2">
      <c r="B828" s="14" t="s">
        <v>1583</v>
      </c>
      <c r="C828" s="14" t="s">
        <v>1584</v>
      </c>
      <c r="D828" s="14">
        <v>1</v>
      </c>
      <c r="E828" s="17">
        <v>10745.06</v>
      </c>
      <c r="F828" s="16" t="s">
        <v>8</v>
      </c>
      <c r="G828" s="38" t="str">
        <f>HYPERLINK("http://enext.ua/i.0090009")</f>
        <v>http://enext.ua/i.0090009</v>
      </c>
    </row>
    <row r="829" spans="2:7" ht="11.25" outlineLevel="4" x14ac:dyDescent="0.2">
      <c r="B829" s="14" t="s">
        <v>1585</v>
      </c>
      <c r="C829" s="14" t="s">
        <v>1586</v>
      </c>
      <c r="D829" s="14">
        <v>1</v>
      </c>
      <c r="E829" s="17">
        <v>14482.44</v>
      </c>
      <c r="F829" s="16" t="s">
        <v>8</v>
      </c>
      <c r="G829" s="38" t="str">
        <f>HYPERLINK("http://enext.ua/i.0090067")</f>
        <v>http://enext.ua/i.0090067</v>
      </c>
    </row>
    <row r="830" spans="2:7" ht="11.25" outlineLevel="4" x14ac:dyDescent="0.2">
      <c r="B830" s="14" t="s">
        <v>1587</v>
      </c>
      <c r="C830" s="14" t="s">
        <v>1588</v>
      </c>
      <c r="D830" s="14">
        <v>1</v>
      </c>
      <c r="E830" s="17">
        <v>14482.44</v>
      </c>
      <c r="F830" s="16" t="s">
        <v>8</v>
      </c>
      <c r="G830" s="38" t="str">
        <f>HYPERLINK("http://enext.ua/i.0090068")</f>
        <v>http://enext.ua/i.0090068</v>
      </c>
    </row>
    <row r="831" spans="2:7" ht="11.25" outlineLevel="4" x14ac:dyDescent="0.2">
      <c r="B831" s="14" t="s">
        <v>1589</v>
      </c>
      <c r="C831" s="14" t="s">
        <v>1590</v>
      </c>
      <c r="D831" s="14">
        <v>1</v>
      </c>
      <c r="E831" s="17">
        <v>19141.71</v>
      </c>
      <c r="F831" s="16" t="s">
        <v>8</v>
      </c>
      <c r="G831" s="38" t="str">
        <f>HYPERLINK("http://enext.ua/i.0090015")</f>
        <v>http://enext.ua/i.0090015</v>
      </c>
    </row>
    <row r="832" spans="2:7" ht="11.25" outlineLevel="4" x14ac:dyDescent="0.2">
      <c r="B832" s="14" t="s">
        <v>1591</v>
      </c>
      <c r="C832" s="14" t="s">
        <v>1592</v>
      </c>
      <c r="D832" s="14">
        <v>1</v>
      </c>
      <c r="E832" s="17">
        <v>19141.71</v>
      </c>
      <c r="F832" s="16" t="s">
        <v>8</v>
      </c>
      <c r="G832" s="38" t="str">
        <f>HYPERLINK("http://enext.ua/i.0090055")</f>
        <v>http://enext.ua/i.0090055</v>
      </c>
    </row>
    <row r="833" spans="2:7" ht="11.25" outlineLevel="4" x14ac:dyDescent="0.2">
      <c r="B833" s="14" t="s">
        <v>1593</v>
      </c>
      <c r="C833" s="14" t="s">
        <v>1594</v>
      </c>
      <c r="D833" s="14">
        <v>1</v>
      </c>
      <c r="E833" s="15">
        <v>951.73</v>
      </c>
      <c r="F833" s="16" t="s">
        <v>8</v>
      </c>
      <c r="G833" s="38" t="str">
        <f>HYPERLINK("http://enext.ua/i.0090014")</f>
        <v>http://enext.ua/i.0090014</v>
      </c>
    </row>
    <row r="834" spans="2:7" ht="12" outlineLevel="3" x14ac:dyDescent="0.2">
      <c r="B834" s="10"/>
      <c r="C834" s="36" t="s">
        <v>1595</v>
      </c>
      <c r="D834" s="10"/>
      <c r="E834" s="11"/>
      <c r="F834" s="11"/>
      <c r="G834" s="10"/>
    </row>
    <row r="835" spans="2:7" ht="11.25" outlineLevel="4" x14ac:dyDescent="0.2">
      <c r="B835" s="14" t="s">
        <v>1596</v>
      </c>
      <c r="C835" s="14" t="s">
        <v>1597</v>
      </c>
      <c r="D835" s="14">
        <v>1</v>
      </c>
      <c r="E835" s="15">
        <v>239</v>
      </c>
      <c r="F835" s="16" t="s">
        <v>8</v>
      </c>
      <c r="G835" s="38" t="str">
        <f>HYPERLINK("http://enext.ua/i0210001")</f>
        <v>http://enext.ua/i0210001</v>
      </c>
    </row>
    <row r="836" spans="2:7" ht="11.25" outlineLevel="4" x14ac:dyDescent="0.2">
      <c r="B836" s="14" t="s">
        <v>1598</v>
      </c>
      <c r="C836" s="14" t="s">
        <v>1599</v>
      </c>
      <c r="D836" s="14">
        <v>1</v>
      </c>
      <c r="E836" s="15">
        <v>259.10000000000002</v>
      </c>
      <c r="F836" s="16" t="s">
        <v>8</v>
      </c>
      <c r="G836" s="38" t="str">
        <f>HYPERLINK("http://enext.ua/i0210002")</f>
        <v>http://enext.ua/i0210002</v>
      </c>
    </row>
    <row r="837" spans="2:7" ht="11.25" outlineLevel="4" x14ac:dyDescent="0.2">
      <c r="B837" s="14" t="s">
        <v>1600</v>
      </c>
      <c r="C837" s="14" t="s">
        <v>1601</v>
      </c>
      <c r="D837" s="14">
        <v>1</v>
      </c>
      <c r="E837" s="15">
        <v>16.43</v>
      </c>
      <c r="F837" s="16" t="s">
        <v>8</v>
      </c>
      <c r="G837" s="14"/>
    </row>
    <row r="838" spans="2:7" ht="11.25" outlineLevel="4" x14ac:dyDescent="0.2">
      <c r="B838" s="14" t="s">
        <v>1602</v>
      </c>
      <c r="C838" s="14" t="s">
        <v>1603</v>
      </c>
      <c r="D838" s="14">
        <v>1</v>
      </c>
      <c r="E838" s="15">
        <v>112.73</v>
      </c>
      <c r="F838" s="16" t="s">
        <v>8</v>
      </c>
      <c r="G838" s="38" t="str">
        <f>HYPERLINK("http://enext.ua/i.0150001")</f>
        <v>http://enext.ua/i.0150001</v>
      </c>
    </row>
    <row r="839" spans="2:7" ht="11.25" outlineLevel="4" x14ac:dyDescent="0.2">
      <c r="B839" s="14" t="s">
        <v>1604</v>
      </c>
      <c r="C839" s="14" t="s">
        <v>1605</v>
      </c>
      <c r="D839" s="14">
        <v>1</v>
      </c>
      <c r="E839" s="15">
        <v>114.43</v>
      </c>
      <c r="F839" s="16" t="s">
        <v>8</v>
      </c>
      <c r="G839" s="38" t="str">
        <f>HYPERLINK("http://enext.ua/i.0150002")</f>
        <v>http://enext.ua/i.0150002</v>
      </c>
    </row>
    <row r="840" spans="2:7" ht="11.25" outlineLevel="4" x14ac:dyDescent="0.2">
      <c r="B840" s="14" t="s">
        <v>1606</v>
      </c>
      <c r="C840" s="14" t="s">
        <v>1607</v>
      </c>
      <c r="D840" s="14">
        <v>1</v>
      </c>
      <c r="E840" s="15">
        <v>377.29</v>
      </c>
      <c r="F840" s="16" t="s">
        <v>8</v>
      </c>
      <c r="G840" s="38" t="str">
        <f>HYPERLINK("http://enext.ua/i.0150005")</f>
        <v>http://enext.ua/i.0150005</v>
      </c>
    </row>
    <row r="841" spans="2:7" ht="11.25" outlineLevel="4" x14ac:dyDescent="0.2">
      <c r="B841" s="14" t="s">
        <v>1608</v>
      </c>
      <c r="C841" s="14" t="s">
        <v>1609</v>
      </c>
      <c r="D841" s="14">
        <v>1</v>
      </c>
      <c r="E841" s="15">
        <v>754.02</v>
      </c>
      <c r="F841" s="16" t="s">
        <v>8</v>
      </c>
      <c r="G841" s="38" t="str">
        <f>HYPERLINK("http://enext.ua/i.0150006")</f>
        <v>http://enext.ua/i.0150006</v>
      </c>
    </row>
    <row r="842" spans="2:7" ht="11.25" outlineLevel="4" x14ac:dyDescent="0.2">
      <c r="B842" s="14" t="s">
        <v>1610</v>
      </c>
      <c r="C842" s="14" t="s">
        <v>1611</v>
      </c>
      <c r="D842" s="14">
        <v>1</v>
      </c>
      <c r="E842" s="15">
        <v>754.02</v>
      </c>
      <c r="F842" s="16" t="s">
        <v>8</v>
      </c>
      <c r="G842" s="38" t="str">
        <f>HYPERLINK("http://enext.ua/i.0150007")</f>
        <v>http://enext.ua/i.0150007</v>
      </c>
    </row>
    <row r="843" spans="2:7" ht="11.25" outlineLevel="4" x14ac:dyDescent="0.2">
      <c r="B843" s="14" t="s">
        <v>1612</v>
      </c>
      <c r="C843" s="14" t="s">
        <v>1613</v>
      </c>
      <c r="D843" s="14">
        <v>1</v>
      </c>
      <c r="E843" s="15">
        <v>90.13</v>
      </c>
      <c r="F843" s="16" t="s">
        <v>8</v>
      </c>
      <c r="G843" s="38" t="str">
        <f>HYPERLINK("http://enext.ua/i0140005")</f>
        <v>http://enext.ua/i0140005</v>
      </c>
    </row>
    <row r="844" spans="2:7" ht="11.25" outlineLevel="4" x14ac:dyDescent="0.2">
      <c r="B844" s="14" t="s">
        <v>1614</v>
      </c>
      <c r="C844" s="14" t="s">
        <v>1615</v>
      </c>
      <c r="D844" s="14">
        <v>1</v>
      </c>
      <c r="E844" s="15">
        <v>56.77</v>
      </c>
      <c r="F844" s="16" t="s">
        <v>8</v>
      </c>
      <c r="G844" s="38" t="str">
        <f>HYPERLINK("http://enext.ua/i0140001")</f>
        <v>http://enext.ua/i0140001</v>
      </c>
    </row>
    <row r="845" spans="2:7" ht="11.25" outlineLevel="4" x14ac:dyDescent="0.2">
      <c r="B845" s="14" t="s">
        <v>1616</v>
      </c>
      <c r="C845" s="14" t="s">
        <v>1617</v>
      </c>
      <c r="D845" s="14">
        <v>1</v>
      </c>
      <c r="E845" s="15">
        <v>60.36</v>
      </c>
      <c r="F845" s="16" t="s">
        <v>8</v>
      </c>
      <c r="G845" s="38" t="str">
        <f>HYPERLINK("http://enext.ua/i0140006")</f>
        <v>http://enext.ua/i0140006</v>
      </c>
    </row>
    <row r="846" spans="2:7" ht="11.25" outlineLevel="4" x14ac:dyDescent="0.2">
      <c r="B846" s="14" t="s">
        <v>1618</v>
      </c>
      <c r="C846" s="14" t="s">
        <v>1619</v>
      </c>
      <c r="D846" s="14">
        <v>1</v>
      </c>
      <c r="E846" s="15">
        <v>58.09</v>
      </c>
      <c r="F846" s="16" t="s">
        <v>8</v>
      </c>
      <c r="G846" s="38" t="str">
        <f>HYPERLINK("http://enext.ua/i0140002")</f>
        <v>http://enext.ua/i0140002</v>
      </c>
    </row>
    <row r="847" spans="2:7" ht="11.25" outlineLevel="4" x14ac:dyDescent="0.2">
      <c r="B847" s="14" t="s">
        <v>1620</v>
      </c>
      <c r="C847" s="14" t="s">
        <v>1621</v>
      </c>
      <c r="D847" s="14">
        <v>1</v>
      </c>
      <c r="E847" s="15">
        <v>59.56</v>
      </c>
      <c r="F847" s="16" t="s">
        <v>8</v>
      </c>
      <c r="G847" s="38" t="str">
        <f>HYPERLINK("http://enext.ua/i0140012")</f>
        <v>http://enext.ua/i0140012</v>
      </c>
    </row>
    <row r="848" spans="2:7" ht="11.25" outlineLevel="4" x14ac:dyDescent="0.2">
      <c r="B848" s="14" t="s">
        <v>1622</v>
      </c>
      <c r="C848" s="14" t="s">
        <v>1623</v>
      </c>
      <c r="D848" s="14">
        <v>50</v>
      </c>
      <c r="E848" s="15">
        <v>99.4</v>
      </c>
      <c r="F848" s="16" t="s">
        <v>8</v>
      </c>
      <c r="G848" s="38" t="str">
        <f>HYPERLINK("http://enext.ua/i0140009")</f>
        <v>http://enext.ua/i0140009</v>
      </c>
    </row>
    <row r="849" spans="2:7" ht="11.25" outlineLevel="4" x14ac:dyDescent="0.2">
      <c r="B849" s="14" t="s">
        <v>1624</v>
      </c>
      <c r="C849" s="14" t="s">
        <v>1625</v>
      </c>
      <c r="D849" s="14">
        <v>50</v>
      </c>
      <c r="E849" s="15">
        <v>103.93</v>
      </c>
      <c r="F849" s="16" t="s">
        <v>8</v>
      </c>
      <c r="G849" s="38" t="str">
        <f>HYPERLINK("http://enext.ua/i0140008")</f>
        <v>http://enext.ua/i0140008</v>
      </c>
    </row>
    <row r="850" spans="2:7" ht="11.25" outlineLevel="4" x14ac:dyDescent="0.2">
      <c r="B850" s="14" t="s">
        <v>1626</v>
      </c>
      <c r="C850" s="14" t="s">
        <v>1627</v>
      </c>
      <c r="D850" s="14">
        <v>1</v>
      </c>
      <c r="E850" s="15">
        <v>164.9</v>
      </c>
      <c r="F850" s="16" t="s">
        <v>8</v>
      </c>
      <c r="G850" s="38" t="str">
        <f>HYPERLINK("http://enext.ua/i0140007")</f>
        <v>http://enext.ua/i0140007</v>
      </c>
    </row>
    <row r="851" spans="2:7" ht="11.25" outlineLevel="4" x14ac:dyDescent="0.2">
      <c r="B851" s="14" t="s">
        <v>1628</v>
      </c>
      <c r="C851" s="14" t="s">
        <v>1629</v>
      </c>
      <c r="D851" s="14">
        <v>1</v>
      </c>
      <c r="E851" s="15">
        <v>115.26</v>
      </c>
      <c r="F851" s="16" t="s">
        <v>8</v>
      </c>
      <c r="G851" s="38" t="str">
        <f>HYPERLINK("http://enext.ua/i0140004")</f>
        <v>http://enext.ua/i0140004</v>
      </c>
    </row>
    <row r="852" spans="2:7" ht="11.25" outlineLevel="4" x14ac:dyDescent="0.2">
      <c r="B852" s="14" t="s">
        <v>1630</v>
      </c>
      <c r="C852" s="14" t="s">
        <v>1631</v>
      </c>
      <c r="D852" s="14">
        <v>1</v>
      </c>
      <c r="E852" s="15">
        <v>115.26</v>
      </c>
      <c r="F852" s="16" t="s">
        <v>8</v>
      </c>
      <c r="G852" s="38" t="str">
        <f>HYPERLINK("http://enext.ua/i0140003")</f>
        <v>http://enext.ua/i0140003</v>
      </c>
    </row>
    <row r="853" spans="2:7" ht="11.25" outlineLevel="4" x14ac:dyDescent="0.2">
      <c r="B853" s="14" t="s">
        <v>1632</v>
      </c>
      <c r="C853" s="14" t="s">
        <v>1633</v>
      </c>
      <c r="D853" s="14">
        <v>1</v>
      </c>
      <c r="E853" s="15">
        <v>113.3</v>
      </c>
      <c r="F853" s="16" t="s">
        <v>8</v>
      </c>
      <c r="G853" s="38" t="str">
        <f>HYPERLINK("http://enext.ua/i0140010")</f>
        <v>http://enext.ua/i0140010</v>
      </c>
    </row>
    <row r="854" spans="2:7" ht="11.25" outlineLevel="4" x14ac:dyDescent="0.2">
      <c r="B854" s="14" t="s">
        <v>1634</v>
      </c>
      <c r="C854" s="14" t="s">
        <v>1635</v>
      </c>
      <c r="D854" s="14">
        <v>60</v>
      </c>
      <c r="E854" s="15">
        <v>189.52</v>
      </c>
      <c r="F854" s="16" t="s">
        <v>8</v>
      </c>
      <c r="G854" s="38" t="str">
        <f>HYPERLINK("http://enext.ua/i0140011")</f>
        <v>http://enext.ua/i0140011</v>
      </c>
    </row>
    <row r="855" spans="2:7" ht="12" outlineLevel="3" x14ac:dyDescent="0.2">
      <c r="B855" s="10"/>
      <c r="C855" s="36" t="s">
        <v>1636</v>
      </c>
      <c r="D855" s="10"/>
      <c r="E855" s="11"/>
      <c r="F855" s="11"/>
      <c r="G855" s="10"/>
    </row>
    <row r="856" spans="2:7" ht="11.25" outlineLevel="4" x14ac:dyDescent="0.2">
      <c r="B856" s="14" t="s">
        <v>1637</v>
      </c>
      <c r="C856" s="14" t="s">
        <v>1638</v>
      </c>
      <c r="D856" s="14">
        <v>2</v>
      </c>
      <c r="E856" s="15">
        <v>125.4</v>
      </c>
      <c r="F856" s="16" t="s">
        <v>8</v>
      </c>
      <c r="G856" s="38" t="str">
        <f>HYPERLINK("http://enext.ua/i0160001")</f>
        <v>http://enext.ua/i0160001</v>
      </c>
    </row>
    <row r="857" spans="2:7" ht="11.25" outlineLevel="4" x14ac:dyDescent="0.2">
      <c r="B857" s="14" t="s">
        <v>1639</v>
      </c>
      <c r="C857" s="14" t="s">
        <v>1640</v>
      </c>
      <c r="D857" s="14">
        <v>2</v>
      </c>
      <c r="E857" s="15">
        <v>125.4</v>
      </c>
      <c r="F857" s="16" t="s">
        <v>8</v>
      </c>
      <c r="G857" s="38" t="str">
        <f>HYPERLINK("http://enext.ua/i0160002")</f>
        <v>http://enext.ua/i0160002</v>
      </c>
    </row>
    <row r="858" spans="2:7" ht="11.25" outlineLevel="4" x14ac:dyDescent="0.2">
      <c r="B858" s="14" t="s">
        <v>1641</v>
      </c>
      <c r="C858" s="14" t="s">
        <v>1642</v>
      </c>
      <c r="D858" s="14">
        <v>1</v>
      </c>
      <c r="E858" s="15">
        <v>125.4</v>
      </c>
      <c r="F858" s="16" t="s">
        <v>8</v>
      </c>
      <c r="G858" s="38" t="str">
        <f>HYPERLINK("http://enext.ua/i0160003")</f>
        <v>http://enext.ua/i0160003</v>
      </c>
    </row>
    <row r="859" spans="2:7" ht="11.25" outlineLevel="4" x14ac:dyDescent="0.2">
      <c r="B859" s="14" t="s">
        <v>1643</v>
      </c>
      <c r="C859" s="14" t="s">
        <v>1644</v>
      </c>
      <c r="D859" s="14">
        <v>2</v>
      </c>
      <c r="E859" s="15">
        <v>125.4</v>
      </c>
      <c r="F859" s="16" t="s">
        <v>8</v>
      </c>
      <c r="G859" s="38" t="str">
        <f>HYPERLINK("http://enext.ua/i0160012")</f>
        <v>http://enext.ua/i0160012</v>
      </c>
    </row>
    <row r="860" spans="2:7" ht="11.25" outlineLevel="4" x14ac:dyDescent="0.2">
      <c r="B860" s="14" t="s">
        <v>1645</v>
      </c>
      <c r="C860" s="14" t="s">
        <v>1646</v>
      </c>
      <c r="D860" s="14">
        <v>2</v>
      </c>
      <c r="E860" s="15">
        <v>125.4</v>
      </c>
      <c r="F860" s="16" t="s">
        <v>8</v>
      </c>
      <c r="G860" s="38" t="str">
        <f>HYPERLINK("http://enext.ua/i0160004")</f>
        <v>http://enext.ua/i0160004</v>
      </c>
    </row>
    <row r="861" spans="2:7" ht="11.25" outlineLevel="4" x14ac:dyDescent="0.2">
      <c r="B861" s="14" t="s">
        <v>1647</v>
      </c>
      <c r="C861" s="14" t="s">
        <v>1648</v>
      </c>
      <c r="D861" s="14">
        <v>10</v>
      </c>
      <c r="E861" s="15">
        <v>225.36</v>
      </c>
      <c r="F861" s="16" t="s">
        <v>8</v>
      </c>
      <c r="G861" s="38" t="str">
        <f>HYPERLINK("http://enext.ua/i0160005")</f>
        <v>http://enext.ua/i0160005</v>
      </c>
    </row>
    <row r="862" spans="2:7" ht="11.25" outlineLevel="4" x14ac:dyDescent="0.2">
      <c r="B862" s="14" t="s">
        <v>1649</v>
      </c>
      <c r="C862" s="14" t="s">
        <v>1650</v>
      </c>
      <c r="D862" s="14">
        <v>1</v>
      </c>
      <c r="E862" s="15">
        <v>225.36</v>
      </c>
      <c r="F862" s="16" t="s">
        <v>8</v>
      </c>
      <c r="G862" s="38" t="str">
        <f>HYPERLINK("http://enext.ua/i0160006")</f>
        <v>http://enext.ua/i0160006</v>
      </c>
    </row>
    <row r="863" spans="2:7" ht="11.25" outlineLevel="4" x14ac:dyDescent="0.2">
      <c r="B863" s="14" t="s">
        <v>1651</v>
      </c>
      <c r="C863" s="14" t="s">
        <v>1652</v>
      </c>
      <c r="D863" s="14">
        <v>1</v>
      </c>
      <c r="E863" s="15">
        <v>225.36</v>
      </c>
      <c r="F863" s="16" t="s">
        <v>8</v>
      </c>
      <c r="G863" s="38" t="str">
        <f>HYPERLINK("http://enext.ua/i0160007")</f>
        <v>http://enext.ua/i0160007</v>
      </c>
    </row>
    <row r="864" spans="2:7" ht="11.25" outlineLevel="4" x14ac:dyDescent="0.2">
      <c r="B864" s="14" t="s">
        <v>1653</v>
      </c>
      <c r="C864" s="14" t="s">
        <v>1654</v>
      </c>
      <c r="D864" s="14">
        <v>10</v>
      </c>
      <c r="E864" s="15">
        <v>225.36</v>
      </c>
      <c r="F864" s="16" t="s">
        <v>8</v>
      </c>
      <c r="G864" s="38" t="str">
        <f>HYPERLINK("http://enext.ua/i0160011")</f>
        <v>http://enext.ua/i0160011</v>
      </c>
    </row>
    <row r="865" spans="2:7" ht="11.25" outlineLevel="4" x14ac:dyDescent="0.2">
      <c r="B865" s="14" t="s">
        <v>1655</v>
      </c>
      <c r="C865" s="14" t="s">
        <v>1656</v>
      </c>
      <c r="D865" s="14">
        <v>10</v>
      </c>
      <c r="E865" s="15">
        <v>225.36</v>
      </c>
      <c r="F865" s="16" t="s">
        <v>8</v>
      </c>
      <c r="G865" s="38" t="str">
        <f>HYPERLINK("http://enext.ua/i0160008")</f>
        <v>http://enext.ua/i0160008</v>
      </c>
    </row>
    <row r="866" spans="2:7" ht="11.25" outlineLevel="4" x14ac:dyDescent="0.2">
      <c r="B866" s="14" t="s">
        <v>1657</v>
      </c>
      <c r="C866" s="14" t="s">
        <v>1658</v>
      </c>
      <c r="D866" s="14">
        <v>1</v>
      </c>
      <c r="E866" s="15">
        <v>793.71</v>
      </c>
      <c r="F866" s="16" t="s">
        <v>8</v>
      </c>
      <c r="G866" s="38" t="str">
        <f>HYPERLINK("http://enext.ua/i0160009")</f>
        <v>http://enext.ua/i0160009</v>
      </c>
    </row>
    <row r="867" spans="2:7" ht="11.25" outlineLevel="4" x14ac:dyDescent="0.2">
      <c r="B867" s="14" t="s">
        <v>1659</v>
      </c>
      <c r="C867" s="14" t="s">
        <v>1660</v>
      </c>
      <c r="D867" s="14">
        <v>1</v>
      </c>
      <c r="E867" s="15">
        <v>793.71</v>
      </c>
      <c r="F867" s="16" t="s">
        <v>8</v>
      </c>
      <c r="G867" s="38" t="str">
        <f>HYPERLINK("http://enext.ua/i0160029")</f>
        <v>http://enext.ua/i0160029</v>
      </c>
    </row>
    <row r="868" spans="2:7" ht="11.25" outlineLevel="4" x14ac:dyDescent="0.2">
      <c r="B868" s="14" t="s">
        <v>1661</v>
      </c>
      <c r="C868" s="14" t="s">
        <v>1662</v>
      </c>
      <c r="D868" s="14">
        <v>1</v>
      </c>
      <c r="E868" s="15">
        <v>793.71</v>
      </c>
      <c r="F868" s="16" t="s">
        <v>8</v>
      </c>
      <c r="G868" s="38" t="str">
        <f>HYPERLINK("http://enext.ua/i0160010")</f>
        <v>http://enext.ua/i0160010</v>
      </c>
    </row>
    <row r="869" spans="2:7" ht="11.25" outlineLevel="4" x14ac:dyDescent="0.2">
      <c r="B869" s="14" t="s">
        <v>1663</v>
      </c>
      <c r="C869" s="14" t="s">
        <v>1664</v>
      </c>
      <c r="D869" s="14">
        <v>1</v>
      </c>
      <c r="E869" s="17">
        <v>1059.2</v>
      </c>
      <c r="F869" s="16" t="s">
        <v>8</v>
      </c>
      <c r="G869" s="38" t="str">
        <f>HYPERLINK("http://enext.ua/i0160014")</f>
        <v>http://enext.ua/i0160014</v>
      </c>
    </row>
    <row r="870" spans="2:7" ht="11.25" outlineLevel="4" x14ac:dyDescent="0.2">
      <c r="B870" s="14" t="s">
        <v>1665</v>
      </c>
      <c r="C870" s="14" t="s">
        <v>1666</v>
      </c>
      <c r="D870" s="14">
        <v>1</v>
      </c>
      <c r="E870" s="17">
        <v>1059.2</v>
      </c>
      <c r="F870" s="16" t="s">
        <v>8</v>
      </c>
      <c r="G870" s="38" t="str">
        <f>HYPERLINK("http://enext.ua/i0160020")</f>
        <v>http://enext.ua/i0160020</v>
      </c>
    </row>
    <row r="871" spans="2:7" ht="11.25" outlineLevel="4" x14ac:dyDescent="0.2">
      <c r="B871" s="14" t="s">
        <v>1667</v>
      </c>
      <c r="C871" s="14" t="s">
        <v>1668</v>
      </c>
      <c r="D871" s="14">
        <v>1</v>
      </c>
      <c r="E871" s="17">
        <v>1059.2</v>
      </c>
      <c r="F871" s="16" t="s">
        <v>8</v>
      </c>
      <c r="G871" s="38" t="str">
        <f>HYPERLINK("http://enext.ua/i0160015")</f>
        <v>http://enext.ua/i0160015</v>
      </c>
    </row>
    <row r="872" spans="2:7" ht="11.25" outlineLevel="4" x14ac:dyDescent="0.2">
      <c r="B872" s="14" t="s">
        <v>1669</v>
      </c>
      <c r="C872" s="14" t="s">
        <v>1670</v>
      </c>
      <c r="D872" s="14">
        <v>1</v>
      </c>
      <c r="E872" s="17">
        <v>1073.51</v>
      </c>
      <c r="F872" s="16" t="s">
        <v>8</v>
      </c>
      <c r="G872" s="38" t="str">
        <f>HYPERLINK("http://enext.ua/i0160016")</f>
        <v>http://enext.ua/i0160016</v>
      </c>
    </row>
    <row r="873" spans="2:7" ht="11.25" outlineLevel="4" x14ac:dyDescent="0.2">
      <c r="B873" s="14" t="s">
        <v>1671</v>
      </c>
      <c r="C873" s="14" t="s">
        <v>1672</v>
      </c>
      <c r="D873" s="14">
        <v>1</v>
      </c>
      <c r="E873" s="17">
        <v>1073.51</v>
      </c>
      <c r="F873" s="16" t="s">
        <v>8</v>
      </c>
      <c r="G873" s="38" t="str">
        <f>HYPERLINK("http://enext.ua/i0160028")</f>
        <v>http://enext.ua/i0160028</v>
      </c>
    </row>
    <row r="874" spans="2:7" ht="11.25" outlineLevel="4" x14ac:dyDescent="0.2">
      <c r="B874" s="14" t="s">
        <v>1673</v>
      </c>
      <c r="C874" s="14" t="s">
        <v>1674</v>
      </c>
      <c r="D874" s="14">
        <v>1</v>
      </c>
      <c r="E874" s="17">
        <v>1073.51</v>
      </c>
      <c r="F874" s="16" t="s">
        <v>8</v>
      </c>
      <c r="G874" s="38" t="str">
        <f>HYPERLINK("http://enext.ua/i0160017")</f>
        <v>http://enext.ua/i0160017</v>
      </c>
    </row>
    <row r="875" spans="2:7" ht="11.25" outlineLevel="4" x14ac:dyDescent="0.2">
      <c r="B875" s="14" t="s">
        <v>1675</v>
      </c>
      <c r="C875" s="14" t="s">
        <v>1676</v>
      </c>
      <c r="D875" s="14">
        <v>1</v>
      </c>
      <c r="E875" s="17">
        <v>1558.46</v>
      </c>
      <c r="F875" s="16" t="s">
        <v>8</v>
      </c>
      <c r="G875" s="14"/>
    </row>
    <row r="876" spans="2:7" ht="11.25" outlineLevel="4" x14ac:dyDescent="0.2">
      <c r="B876" s="14" t="s">
        <v>1677</v>
      </c>
      <c r="C876" s="14" t="s">
        <v>1678</v>
      </c>
      <c r="D876" s="14">
        <v>1</v>
      </c>
      <c r="E876" s="17">
        <v>1558.39</v>
      </c>
      <c r="F876" s="16" t="s">
        <v>8</v>
      </c>
      <c r="G876" s="14"/>
    </row>
    <row r="877" spans="2:7" ht="11.25" outlineLevel="4" x14ac:dyDescent="0.2">
      <c r="B877" s="14" t="s">
        <v>1679</v>
      </c>
      <c r="C877" s="14" t="s">
        <v>1680</v>
      </c>
      <c r="D877" s="14">
        <v>1</v>
      </c>
      <c r="E877" s="17">
        <v>2780.56</v>
      </c>
      <c r="F877" s="16" t="s">
        <v>8</v>
      </c>
      <c r="G877" s="14"/>
    </row>
    <row r="878" spans="2:7" ht="11.25" outlineLevel="4" x14ac:dyDescent="0.2">
      <c r="B878" s="14" t="s">
        <v>1681</v>
      </c>
      <c r="C878" s="14" t="s">
        <v>1682</v>
      </c>
      <c r="D878" s="14">
        <v>1</v>
      </c>
      <c r="E878" s="17">
        <v>3159.26</v>
      </c>
      <c r="F878" s="16" t="s">
        <v>8</v>
      </c>
      <c r="G878" s="14"/>
    </row>
    <row r="879" spans="2:7" ht="11.25" outlineLevel="4" x14ac:dyDescent="0.2">
      <c r="B879" s="14" t="s">
        <v>1683</v>
      </c>
      <c r="C879" s="14" t="s">
        <v>1684</v>
      </c>
      <c r="D879" s="14">
        <v>1</v>
      </c>
      <c r="E879" s="17">
        <v>4291.91</v>
      </c>
      <c r="F879" s="16" t="s">
        <v>8</v>
      </c>
      <c r="G879" s="38" t="str">
        <f>HYPERLINK("http://enext.ua/i0160018")</f>
        <v>http://enext.ua/i0160018</v>
      </c>
    </row>
    <row r="880" spans="2:7" ht="11.25" outlineLevel="4" x14ac:dyDescent="0.2">
      <c r="B880" s="14" t="s">
        <v>1685</v>
      </c>
      <c r="C880" s="14" t="s">
        <v>1686</v>
      </c>
      <c r="D880" s="14">
        <v>1</v>
      </c>
      <c r="E880" s="17">
        <v>4291.91</v>
      </c>
      <c r="F880" s="16" t="s">
        <v>8</v>
      </c>
      <c r="G880" s="38" t="str">
        <f>HYPERLINK("http://enext.ua/i0160030")</f>
        <v>http://enext.ua/i0160030</v>
      </c>
    </row>
    <row r="881" spans="2:7" ht="11.25" outlineLevel="4" x14ac:dyDescent="0.2">
      <c r="B881" s="14" t="s">
        <v>1687</v>
      </c>
      <c r="C881" s="14" t="s">
        <v>1688</v>
      </c>
      <c r="D881" s="14">
        <v>1</v>
      </c>
      <c r="E881" s="17">
        <v>4291.91</v>
      </c>
      <c r="F881" s="16" t="s">
        <v>8</v>
      </c>
      <c r="G881" s="38" t="str">
        <f>HYPERLINK("http://enext.ua/i0160019")</f>
        <v>http://enext.ua/i0160019</v>
      </c>
    </row>
    <row r="882" spans="2:7" ht="11.25" outlineLevel="4" x14ac:dyDescent="0.2">
      <c r="B882" s="14" t="s">
        <v>1689</v>
      </c>
      <c r="C882" s="14" t="s">
        <v>1690</v>
      </c>
      <c r="D882" s="14">
        <v>2</v>
      </c>
      <c r="E882" s="15">
        <v>826.76</v>
      </c>
      <c r="F882" s="16" t="s">
        <v>8</v>
      </c>
      <c r="G882" s="38" t="str">
        <f>HYPERLINK("http://enext.ua/i0160013")</f>
        <v>http://enext.ua/i0160013</v>
      </c>
    </row>
    <row r="883" spans="2:7" ht="11.25" outlineLevel="4" x14ac:dyDescent="0.2">
      <c r="B883" s="14" t="s">
        <v>1691</v>
      </c>
      <c r="C883" s="14" t="s">
        <v>1692</v>
      </c>
      <c r="D883" s="14">
        <v>1</v>
      </c>
      <c r="E883" s="15">
        <v>257.73</v>
      </c>
      <c r="F883" s="16" t="s">
        <v>8</v>
      </c>
      <c r="G883" s="14"/>
    </row>
    <row r="884" spans="2:7" ht="12" outlineLevel="2" x14ac:dyDescent="0.2">
      <c r="B884" s="8"/>
      <c r="C884" s="35" t="s">
        <v>1693</v>
      </c>
      <c r="D884" s="8"/>
      <c r="E884" s="9"/>
      <c r="F884" s="9"/>
      <c r="G884" s="8"/>
    </row>
    <row r="885" spans="2:7" ht="12" outlineLevel="3" x14ac:dyDescent="0.2">
      <c r="B885" s="10"/>
      <c r="C885" s="36" t="s">
        <v>1694</v>
      </c>
      <c r="D885" s="10"/>
      <c r="E885" s="11"/>
      <c r="F885" s="11"/>
      <c r="G885" s="10"/>
    </row>
    <row r="886" spans="2:7" ht="22.5" outlineLevel="4" x14ac:dyDescent="0.2">
      <c r="B886" s="14" t="s">
        <v>1695</v>
      </c>
      <c r="C886" s="14" t="s">
        <v>1696</v>
      </c>
      <c r="D886" s="14">
        <v>1</v>
      </c>
      <c r="E886" s="15">
        <v>273.60000000000002</v>
      </c>
      <c r="F886" s="16" t="s">
        <v>8</v>
      </c>
      <c r="G886" s="38" t="str">
        <f>HYPERLINK("http://enext.ua/i0110014")</f>
        <v>http://enext.ua/i0110014</v>
      </c>
    </row>
    <row r="887" spans="2:7" ht="22.5" outlineLevel="4" x14ac:dyDescent="0.2">
      <c r="B887" s="14" t="s">
        <v>1697</v>
      </c>
      <c r="C887" s="14" t="s">
        <v>1698</v>
      </c>
      <c r="D887" s="14">
        <v>1</v>
      </c>
      <c r="E887" s="15">
        <v>273.60000000000002</v>
      </c>
      <c r="F887" s="16" t="s">
        <v>8</v>
      </c>
      <c r="G887" s="38" t="str">
        <f>HYPERLINK("http://enext.ua/i0110015")</f>
        <v>http://enext.ua/i0110015</v>
      </c>
    </row>
    <row r="888" spans="2:7" ht="22.5" outlineLevel="4" x14ac:dyDescent="0.2">
      <c r="B888" s="14" t="s">
        <v>1699</v>
      </c>
      <c r="C888" s="14" t="s">
        <v>1700</v>
      </c>
      <c r="D888" s="14">
        <v>1</v>
      </c>
      <c r="E888" s="15">
        <v>267.60000000000002</v>
      </c>
      <c r="F888" s="16" t="s">
        <v>8</v>
      </c>
      <c r="G888" s="38" t="str">
        <f>HYPERLINK("http://enext.ua/i0110016")</f>
        <v>http://enext.ua/i0110016</v>
      </c>
    </row>
    <row r="889" spans="2:7" ht="22.5" outlineLevel="4" x14ac:dyDescent="0.2">
      <c r="B889" s="14" t="s">
        <v>1701</v>
      </c>
      <c r="C889" s="14" t="s">
        <v>1702</v>
      </c>
      <c r="D889" s="14">
        <v>1</v>
      </c>
      <c r="E889" s="15">
        <v>270</v>
      </c>
      <c r="F889" s="16" t="s">
        <v>8</v>
      </c>
      <c r="G889" s="38" t="str">
        <f>HYPERLINK("http://enext.ua/i0110017")</f>
        <v>http://enext.ua/i0110017</v>
      </c>
    </row>
    <row r="890" spans="2:7" ht="22.5" outlineLevel="4" x14ac:dyDescent="0.2">
      <c r="B890" s="14" t="s">
        <v>1703</v>
      </c>
      <c r="C890" s="14" t="s">
        <v>1704</v>
      </c>
      <c r="D890" s="14">
        <v>1</v>
      </c>
      <c r="E890" s="15">
        <v>273.60000000000002</v>
      </c>
      <c r="F890" s="16" t="s">
        <v>8</v>
      </c>
      <c r="G890" s="38" t="str">
        <f>HYPERLINK("http://enext.ua/i0110018")</f>
        <v>http://enext.ua/i0110018</v>
      </c>
    </row>
    <row r="891" spans="2:7" ht="11.25" outlineLevel="4" x14ac:dyDescent="0.2">
      <c r="B891" s="14" t="s">
        <v>1705</v>
      </c>
      <c r="C891" s="14" t="s">
        <v>1706</v>
      </c>
      <c r="D891" s="14">
        <v>1</v>
      </c>
      <c r="E891" s="15">
        <v>193.73</v>
      </c>
      <c r="F891" s="16" t="s">
        <v>8</v>
      </c>
      <c r="G891" s="38" t="str">
        <f>HYPERLINK("http://enext.ua/i0110001")</f>
        <v>http://enext.ua/i0110001</v>
      </c>
    </row>
    <row r="892" spans="2:7" ht="11.25" outlineLevel="4" x14ac:dyDescent="0.2">
      <c r="B892" s="14" t="s">
        <v>1707</v>
      </c>
      <c r="C892" s="14" t="s">
        <v>1708</v>
      </c>
      <c r="D892" s="14">
        <v>1</v>
      </c>
      <c r="E892" s="15">
        <v>193.73</v>
      </c>
      <c r="F892" s="16" t="s">
        <v>8</v>
      </c>
      <c r="G892" s="38" t="str">
        <f>HYPERLINK("http://enext.ua/i0110002")</f>
        <v>http://enext.ua/i0110002</v>
      </c>
    </row>
    <row r="893" spans="2:7" ht="11.25" outlineLevel="4" x14ac:dyDescent="0.2">
      <c r="B893" s="14" t="s">
        <v>1709</v>
      </c>
      <c r="C893" s="14" t="s">
        <v>1710</v>
      </c>
      <c r="D893" s="14">
        <v>1</v>
      </c>
      <c r="E893" s="15">
        <v>193.73</v>
      </c>
      <c r="F893" s="16" t="s">
        <v>8</v>
      </c>
      <c r="G893" s="38" t="str">
        <f>HYPERLINK("http://enext.ua/i0110003")</f>
        <v>http://enext.ua/i0110003</v>
      </c>
    </row>
    <row r="894" spans="2:7" ht="11.25" outlineLevel="4" x14ac:dyDescent="0.2">
      <c r="B894" s="14" t="s">
        <v>1711</v>
      </c>
      <c r="C894" s="14" t="s">
        <v>1712</v>
      </c>
      <c r="D894" s="14">
        <v>1</v>
      </c>
      <c r="E894" s="15">
        <v>193.73</v>
      </c>
      <c r="F894" s="16" t="s">
        <v>8</v>
      </c>
      <c r="G894" s="38" t="str">
        <f>HYPERLINK("http://enext.ua/i0110004")</f>
        <v>http://enext.ua/i0110004</v>
      </c>
    </row>
    <row r="895" spans="2:7" ht="11.25" outlineLevel="4" x14ac:dyDescent="0.2">
      <c r="B895" s="14" t="s">
        <v>1713</v>
      </c>
      <c r="C895" s="14" t="s">
        <v>1714</v>
      </c>
      <c r="D895" s="14">
        <v>1</v>
      </c>
      <c r="E895" s="15">
        <v>193.73</v>
      </c>
      <c r="F895" s="16" t="s">
        <v>8</v>
      </c>
      <c r="G895" s="38" t="str">
        <f>HYPERLINK("http://enext.ua/i0110005")</f>
        <v>http://enext.ua/i0110005</v>
      </c>
    </row>
    <row r="896" spans="2:7" ht="11.25" outlineLevel="4" x14ac:dyDescent="0.2">
      <c r="B896" s="14" t="s">
        <v>1715</v>
      </c>
      <c r="C896" s="14" t="s">
        <v>1716</v>
      </c>
      <c r="D896" s="14">
        <v>1</v>
      </c>
      <c r="E896" s="15">
        <v>193.73</v>
      </c>
      <c r="F896" s="16" t="s">
        <v>8</v>
      </c>
      <c r="G896" s="38" t="str">
        <f>HYPERLINK("http://enext.ua/i0110006")</f>
        <v>http://enext.ua/i0110006</v>
      </c>
    </row>
    <row r="897" spans="2:7" ht="11.25" outlineLevel="4" x14ac:dyDescent="0.2">
      <c r="B897" s="14" t="s">
        <v>1717</v>
      </c>
      <c r="C897" s="14" t="s">
        <v>1718</v>
      </c>
      <c r="D897" s="14">
        <v>1</v>
      </c>
      <c r="E897" s="15">
        <v>193.73</v>
      </c>
      <c r="F897" s="16" t="s">
        <v>8</v>
      </c>
      <c r="G897" s="38" t="str">
        <f>HYPERLINK("http://enext.ua/i0110007")</f>
        <v>http://enext.ua/i0110007</v>
      </c>
    </row>
    <row r="898" spans="2:7" ht="11.25" outlineLevel="4" x14ac:dyDescent="0.2">
      <c r="B898" s="14" t="s">
        <v>1719</v>
      </c>
      <c r="C898" s="14" t="s">
        <v>1720</v>
      </c>
      <c r="D898" s="14">
        <v>1</v>
      </c>
      <c r="E898" s="15">
        <v>193.73</v>
      </c>
      <c r="F898" s="16" t="s">
        <v>8</v>
      </c>
      <c r="G898" s="38" t="str">
        <f>HYPERLINK("http://enext.ua/i0110008")</f>
        <v>http://enext.ua/i0110008</v>
      </c>
    </row>
    <row r="899" spans="2:7" ht="11.25" outlineLevel="4" x14ac:dyDescent="0.2">
      <c r="B899" s="14" t="s">
        <v>1721</v>
      </c>
      <c r="C899" s="14" t="s">
        <v>1722</v>
      </c>
      <c r="D899" s="14">
        <v>1</v>
      </c>
      <c r="E899" s="15">
        <v>326.08</v>
      </c>
      <c r="F899" s="16" t="s">
        <v>8</v>
      </c>
      <c r="G899" s="38" t="str">
        <f>HYPERLINK("http://enext.ua/i0110009")</f>
        <v>http://enext.ua/i0110009</v>
      </c>
    </row>
    <row r="900" spans="2:7" ht="11.25" outlineLevel="4" x14ac:dyDescent="0.2">
      <c r="B900" s="14" t="s">
        <v>1723</v>
      </c>
      <c r="C900" s="14" t="s">
        <v>1724</v>
      </c>
      <c r="D900" s="14">
        <v>1</v>
      </c>
      <c r="E900" s="15">
        <v>326.08</v>
      </c>
      <c r="F900" s="16" t="s">
        <v>8</v>
      </c>
      <c r="G900" s="38" t="str">
        <f>HYPERLINK("http://enext.ua/i0110010")</f>
        <v>http://enext.ua/i0110010</v>
      </c>
    </row>
    <row r="901" spans="2:7" ht="11.25" outlineLevel="4" x14ac:dyDescent="0.2">
      <c r="B901" s="14" t="s">
        <v>1725</v>
      </c>
      <c r="C901" s="14" t="s">
        <v>1726</v>
      </c>
      <c r="D901" s="14">
        <v>1</v>
      </c>
      <c r="E901" s="15">
        <v>518.08000000000004</v>
      </c>
      <c r="F901" s="16" t="s">
        <v>8</v>
      </c>
      <c r="G901" s="38" t="str">
        <f>HYPERLINK("http://enext.ua/i0110011")</f>
        <v>http://enext.ua/i0110011</v>
      </c>
    </row>
    <row r="902" spans="2:7" ht="11.25" outlineLevel="4" x14ac:dyDescent="0.2">
      <c r="B902" s="14" t="s">
        <v>1727</v>
      </c>
      <c r="C902" s="14" t="s">
        <v>1728</v>
      </c>
      <c r="D902" s="14">
        <v>1</v>
      </c>
      <c r="E902" s="15">
        <v>518.08000000000004</v>
      </c>
      <c r="F902" s="16" t="s">
        <v>8</v>
      </c>
      <c r="G902" s="38" t="str">
        <f>HYPERLINK("http://enext.ua/i0110012")</f>
        <v>http://enext.ua/i0110012</v>
      </c>
    </row>
    <row r="903" spans="2:7" ht="11.25" outlineLevel="4" x14ac:dyDescent="0.2">
      <c r="B903" s="14" t="s">
        <v>1729</v>
      </c>
      <c r="C903" s="14" t="s">
        <v>1730</v>
      </c>
      <c r="D903" s="14">
        <v>1</v>
      </c>
      <c r="E903" s="17">
        <v>1162.1099999999999</v>
      </c>
      <c r="F903" s="16" t="s">
        <v>8</v>
      </c>
      <c r="G903" s="38" t="str">
        <f>HYPERLINK("http://enext.ua/i0110013")</f>
        <v>http://enext.ua/i0110013</v>
      </c>
    </row>
    <row r="904" spans="2:7" ht="11.25" outlineLevel="4" x14ac:dyDescent="0.2">
      <c r="B904" s="14" t="s">
        <v>1731</v>
      </c>
      <c r="C904" s="14" t="s">
        <v>1732</v>
      </c>
      <c r="D904" s="14">
        <v>30</v>
      </c>
      <c r="E904" s="17">
        <v>1162.1099999999999</v>
      </c>
      <c r="F904" s="16" t="s">
        <v>8</v>
      </c>
      <c r="G904" s="38" t="str">
        <f>HYPERLINK("http://enext.ua/i0110022")</f>
        <v>http://enext.ua/i0110022</v>
      </c>
    </row>
    <row r="905" spans="2:7" ht="11.25" outlineLevel="4" x14ac:dyDescent="0.2">
      <c r="B905" s="14" t="s">
        <v>1733</v>
      </c>
      <c r="C905" s="14" t="s">
        <v>1734</v>
      </c>
      <c r="D905" s="14">
        <v>1</v>
      </c>
      <c r="E905" s="17">
        <v>1162.1099999999999</v>
      </c>
      <c r="F905" s="16" t="s">
        <v>8</v>
      </c>
      <c r="G905" s="38" t="str">
        <f>HYPERLINK("http://enext.ua/i0110020")</f>
        <v>http://enext.ua/i0110020</v>
      </c>
    </row>
    <row r="906" spans="2:7" ht="11.25" outlineLevel="4" x14ac:dyDescent="0.2">
      <c r="B906" s="14" t="s">
        <v>1735</v>
      </c>
      <c r="C906" s="14" t="s">
        <v>1736</v>
      </c>
      <c r="D906" s="14">
        <v>1</v>
      </c>
      <c r="E906" s="17">
        <v>2931.5</v>
      </c>
      <c r="F906" s="16" t="s">
        <v>8</v>
      </c>
      <c r="G906" s="38" t="str">
        <f>HYPERLINK("http://enext.ua/i0110021")</f>
        <v>http://enext.ua/i0110021</v>
      </c>
    </row>
    <row r="907" spans="2:7" ht="11.25" outlineLevel="4" x14ac:dyDescent="0.2">
      <c r="B907" s="14" t="s">
        <v>1737</v>
      </c>
      <c r="C907" s="14" t="s">
        <v>1738</v>
      </c>
      <c r="D907" s="14">
        <v>1</v>
      </c>
      <c r="E907" s="17">
        <v>6090.14</v>
      </c>
      <c r="F907" s="16" t="s">
        <v>8</v>
      </c>
      <c r="G907" s="38" t="str">
        <f>HYPERLINK("http://enext.ua/i0110019")</f>
        <v>http://enext.ua/i0110019</v>
      </c>
    </row>
    <row r="908" spans="2:7" ht="12" outlineLevel="3" x14ac:dyDescent="0.2">
      <c r="B908" s="10"/>
      <c r="C908" s="36" t="s">
        <v>1739</v>
      </c>
      <c r="D908" s="10"/>
      <c r="E908" s="11"/>
      <c r="F908" s="11"/>
      <c r="G908" s="10"/>
    </row>
    <row r="909" spans="2:7" ht="11.25" outlineLevel="4" x14ac:dyDescent="0.2">
      <c r="B909" s="14" t="s">
        <v>1740</v>
      </c>
      <c r="C909" s="14" t="s">
        <v>1741</v>
      </c>
      <c r="D909" s="14">
        <v>1</v>
      </c>
      <c r="E909" s="15">
        <v>95</v>
      </c>
      <c r="F909" s="16" t="s">
        <v>8</v>
      </c>
      <c r="G909" s="38" t="str">
        <f>HYPERLINK("http://enext.ua/i0120001")</f>
        <v>http://enext.ua/i0120001</v>
      </c>
    </row>
    <row r="910" spans="2:7" ht="11.25" outlineLevel="4" x14ac:dyDescent="0.2">
      <c r="B910" s="14" t="s">
        <v>1742</v>
      </c>
      <c r="C910" s="14" t="s">
        <v>1743</v>
      </c>
      <c r="D910" s="14">
        <v>1</v>
      </c>
      <c r="E910" s="15">
        <v>147.9</v>
      </c>
      <c r="F910" s="16" t="s">
        <v>8</v>
      </c>
      <c r="G910" s="38" t="str">
        <f>HYPERLINK("http://enext.ua/i0120002")</f>
        <v>http://enext.ua/i0120002</v>
      </c>
    </row>
    <row r="911" spans="2:7" ht="11.25" outlineLevel="4" x14ac:dyDescent="0.2">
      <c r="B911" s="14" t="s">
        <v>1744</v>
      </c>
      <c r="C911" s="14" t="s">
        <v>1745</v>
      </c>
      <c r="D911" s="14">
        <v>1</v>
      </c>
      <c r="E911" s="15">
        <v>243.1</v>
      </c>
      <c r="F911" s="16" t="s">
        <v>8</v>
      </c>
      <c r="G911" s="38" t="str">
        <f>HYPERLINK("http://enext.ua/i0120003")</f>
        <v>http://enext.ua/i0120003</v>
      </c>
    </row>
    <row r="912" spans="2:7" ht="12" outlineLevel="3" x14ac:dyDescent="0.2">
      <c r="B912" s="10"/>
      <c r="C912" s="36" t="s">
        <v>1746</v>
      </c>
      <c r="D912" s="10"/>
      <c r="E912" s="11"/>
      <c r="F912" s="11"/>
      <c r="G912" s="10"/>
    </row>
    <row r="913" spans="2:7" ht="11.25" outlineLevel="4" x14ac:dyDescent="0.2">
      <c r="B913" s="14" t="s">
        <v>1747</v>
      </c>
      <c r="C913" s="14" t="s">
        <v>1748</v>
      </c>
      <c r="D913" s="14">
        <v>1</v>
      </c>
      <c r="E913" s="15">
        <v>26.74</v>
      </c>
      <c r="F913" s="16" t="s">
        <v>8</v>
      </c>
      <c r="G913" s="38" t="str">
        <f>HYPERLINK("http://enext.ua/p0100001")</f>
        <v>http://enext.ua/p0100001</v>
      </c>
    </row>
    <row r="914" spans="2:7" ht="11.25" outlineLevel="4" x14ac:dyDescent="0.2">
      <c r="B914" s="14" t="s">
        <v>1749</v>
      </c>
      <c r="C914" s="14" t="s">
        <v>1750</v>
      </c>
      <c r="D914" s="14">
        <v>1</v>
      </c>
      <c r="E914" s="15">
        <v>26.74</v>
      </c>
      <c r="F914" s="16" t="s">
        <v>8</v>
      </c>
      <c r="G914" s="38" t="str">
        <f>HYPERLINK("http://enext.ua/p0100002")</f>
        <v>http://enext.ua/p0100002</v>
      </c>
    </row>
    <row r="915" spans="2:7" ht="11.25" outlineLevel="4" x14ac:dyDescent="0.2">
      <c r="B915" s="14" t="s">
        <v>1751</v>
      </c>
      <c r="C915" s="14" t="s">
        <v>1752</v>
      </c>
      <c r="D915" s="14">
        <v>1</v>
      </c>
      <c r="E915" s="15">
        <v>26.74</v>
      </c>
      <c r="F915" s="16" t="s">
        <v>8</v>
      </c>
      <c r="G915" s="38" t="str">
        <f>HYPERLINK("http://enext.ua/p0100003")</f>
        <v>http://enext.ua/p0100003</v>
      </c>
    </row>
    <row r="916" spans="2:7" ht="11.25" outlineLevel="4" x14ac:dyDescent="0.2">
      <c r="B916" s="14" t="s">
        <v>1753</v>
      </c>
      <c r="C916" s="14" t="s">
        <v>1754</v>
      </c>
      <c r="D916" s="14">
        <v>1</v>
      </c>
      <c r="E916" s="15">
        <v>26.74</v>
      </c>
      <c r="F916" s="16" t="s">
        <v>8</v>
      </c>
      <c r="G916" s="38" t="str">
        <f>HYPERLINK("http://enext.ua/p0100004")</f>
        <v>http://enext.ua/p0100004</v>
      </c>
    </row>
    <row r="917" spans="2:7" ht="11.25" outlineLevel="4" x14ac:dyDescent="0.2">
      <c r="B917" s="14" t="s">
        <v>1755</v>
      </c>
      <c r="C917" s="14" t="s">
        <v>1756</v>
      </c>
      <c r="D917" s="14">
        <v>1</v>
      </c>
      <c r="E917" s="15">
        <v>26.74</v>
      </c>
      <c r="F917" s="16" t="s">
        <v>8</v>
      </c>
      <c r="G917" s="38" t="str">
        <f>HYPERLINK("http://enext.ua/p0100015")</f>
        <v>http://enext.ua/p0100015</v>
      </c>
    </row>
    <row r="918" spans="2:7" ht="11.25" outlineLevel="4" x14ac:dyDescent="0.2">
      <c r="B918" s="14" t="s">
        <v>1757</v>
      </c>
      <c r="C918" s="14" t="s">
        <v>1758</v>
      </c>
      <c r="D918" s="14">
        <v>1</v>
      </c>
      <c r="E918" s="15">
        <v>72.260000000000005</v>
      </c>
      <c r="F918" s="16" t="s">
        <v>8</v>
      </c>
      <c r="G918" s="38" t="str">
        <f>HYPERLINK("http://enext.ua/p0100025")</f>
        <v>http://enext.ua/p0100025</v>
      </c>
    </row>
    <row r="919" spans="2:7" ht="11.25" outlineLevel="4" x14ac:dyDescent="0.2">
      <c r="B919" s="14" t="s">
        <v>1759</v>
      </c>
      <c r="C919" s="14" t="s">
        <v>1760</v>
      </c>
      <c r="D919" s="14">
        <v>1</v>
      </c>
      <c r="E919" s="15">
        <v>72.260000000000005</v>
      </c>
      <c r="F919" s="16" t="s">
        <v>8</v>
      </c>
      <c r="G919" s="38" t="str">
        <f>HYPERLINK("http://enext.ua/p0100026")</f>
        <v>http://enext.ua/p0100026</v>
      </c>
    </row>
    <row r="920" spans="2:7" ht="11.25" outlineLevel="4" x14ac:dyDescent="0.2">
      <c r="B920" s="14" t="s">
        <v>1761</v>
      </c>
      <c r="C920" s="14" t="s">
        <v>1762</v>
      </c>
      <c r="D920" s="14">
        <v>1</v>
      </c>
      <c r="E920" s="15">
        <v>72.260000000000005</v>
      </c>
      <c r="F920" s="16" t="s">
        <v>8</v>
      </c>
      <c r="G920" s="38" t="str">
        <f>HYPERLINK("http://enext.ua/p0100027")</f>
        <v>http://enext.ua/p0100027</v>
      </c>
    </row>
    <row r="921" spans="2:7" ht="12" outlineLevel="2" x14ac:dyDescent="0.2">
      <c r="B921" s="8"/>
      <c r="C921" s="35" t="s">
        <v>1763</v>
      </c>
      <c r="D921" s="8"/>
      <c r="E921" s="9"/>
      <c r="F921" s="9"/>
      <c r="G921" s="8"/>
    </row>
    <row r="922" spans="2:7" ht="11.25" outlineLevel="3" x14ac:dyDescent="0.2">
      <c r="B922" s="14" t="s">
        <v>1764</v>
      </c>
      <c r="C922" s="14" t="s">
        <v>1765</v>
      </c>
      <c r="D922" s="14">
        <v>1</v>
      </c>
      <c r="E922" s="15">
        <v>694.02</v>
      </c>
      <c r="F922" s="16" t="s">
        <v>8</v>
      </c>
      <c r="G922" s="14"/>
    </row>
    <row r="923" spans="2:7" ht="11.25" outlineLevel="3" x14ac:dyDescent="0.2">
      <c r="B923" s="14" t="s">
        <v>1766</v>
      </c>
      <c r="C923" s="14" t="s">
        <v>1767</v>
      </c>
      <c r="D923" s="14">
        <v>1</v>
      </c>
      <c r="E923" s="15">
        <v>694.02</v>
      </c>
      <c r="F923" s="16" t="s">
        <v>8</v>
      </c>
      <c r="G923" s="38" t="str">
        <f>HYPERLINK("http://enext.ua/i0100001")</f>
        <v>http://enext.ua/i0100001</v>
      </c>
    </row>
    <row r="924" spans="2:7" ht="11.25" outlineLevel="3" x14ac:dyDescent="0.2">
      <c r="B924" s="14" t="s">
        <v>1768</v>
      </c>
      <c r="C924" s="14" t="s">
        <v>1769</v>
      </c>
      <c r="D924" s="14">
        <v>1</v>
      </c>
      <c r="E924" s="15">
        <v>756.16</v>
      </c>
      <c r="F924" s="16" t="s">
        <v>8</v>
      </c>
      <c r="G924" s="38" t="str">
        <f>HYPERLINK("http://enext.ua/i0100007")</f>
        <v>http://enext.ua/i0100007</v>
      </c>
    </row>
    <row r="925" spans="2:7" ht="11.25" outlineLevel="3" x14ac:dyDescent="0.2">
      <c r="B925" s="14" t="s">
        <v>1770</v>
      </c>
      <c r="C925" s="14" t="s">
        <v>1771</v>
      </c>
      <c r="D925" s="14">
        <v>1</v>
      </c>
      <c r="E925" s="15">
        <v>756.16</v>
      </c>
      <c r="F925" s="16" t="s">
        <v>8</v>
      </c>
      <c r="G925" s="14"/>
    </row>
    <row r="926" spans="2:7" ht="11.25" outlineLevel="3" x14ac:dyDescent="0.2">
      <c r="B926" s="14" t="s">
        <v>1772</v>
      </c>
      <c r="C926" s="14" t="s">
        <v>1773</v>
      </c>
      <c r="D926" s="14">
        <v>1</v>
      </c>
      <c r="E926" s="15">
        <v>756.16</v>
      </c>
      <c r="F926" s="16" t="s">
        <v>8</v>
      </c>
      <c r="G926" s="38" t="str">
        <f>HYPERLINK("http://enext.ua/i0100002")</f>
        <v>http://enext.ua/i0100002</v>
      </c>
    </row>
    <row r="927" spans="2:7" ht="11.25" outlineLevel="3" x14ac:dyDescent="0.2">
      <c r="B927" s="14" t="s">
        <v>1774</v>
      </c>
      <c r="C927" s="14" t="s">
        <v>1775</v>
      </c>
      <c r="D927" s="14">
        <v>1</v>
      </c>
      <c r="E927" s="15">
        <v>777.48</v>
      </c>
      <c r="F927" s="16" t="s">
        <v>8</v>
      </c>
      <c r="G927" s="38" t="str">
        <f>HYPERLINK("http://enext.ua/i0100003")</f>
        <v>http://enext.ua/i0100003</v>
      </c>
    </row>
    <row r="928" spans="2:7" ht="11.25" outlineLevel="3" x14ac:dyDescent="0.2">
      <c r="B928" s="14" t="s">
        <v>1776</v>
      </c>
      <c r="C928" s="14" t="s">
        <v>1777</v>
      </c>
      <c r="D928" s="14">
        <v>1</v>
      </c>
      <c r="E928" s="15">
        <v>936.04</v>
      </c>
      <c r="F928" s="16" t="s">
        <v>8</v>
      </c>
      <c r="G928" s="38" t="str">
        <f>HYPERLINK("http://enext.ua/i0100004")</f>
        <v>http://enext.ua/i0100004</v>
      </c>
    </row>
    <row r="929" spans="2:7" ht="11.25" outlineLevel="3" x14ac:dyDescent="0.2">
      <c r="B929" s="14" t="s">
        <v>1778</v>
      </c>
      <c r="C929" s="14" t="s">
        <v>1779</v>
      </c>
      <c r="D929" s="14">
        <v>1</v>
      </c>
      <c r="E929" s="17">
        <v>1139.69</v>
      </c>
      <c r="F929" s="16" t="s">
        <v>8</v>
      </c>
      <c r="G929" s="14"/>
    </row>
    <row r="930" spans="2:7" ht="11.25" outlineLevel="3" x14ac:dyDescent="0.2">
      <c r="B930" s="14" t="s">
        <v>1780</v>
      </c>
      <c r="C930" s="14" t="s">
        <v>1781</v>
      </c>
      <c r="D930" s="14">
        <v>1</v>
      </c>
      <c r="E930" s="17">
        <v>1139.69</v>
      </c>
      <c r="F930" s="16" t="s">
        <v>8</v>
      </c>
      <c r="G930" s="38" t="str">
        <f>HYPERLINK("http://enext.ua/i0100005")</f>
        <v>http://enext.ua/i0100005</v>
      </c>
    </row>
    <row r="931" spans="2:7" ht="11.25" outlineLevel="3" x14ac:dyDescent="0.2">
      <c r="B931" s="14" t="s">
        <v>1782</v>
      </c>
      <c r="C931" s="14" t="s">
        <v>1783</v>
      </c>
      <c r="D931" s="14">
        <v>1</v>
      </c>
      <c r="E931" s="17">
        <v>1804.53</v>
      </c>
      <c r="F931" s="16" t="s">
        <v>8</v>
      </c>
      <c r="G931" s="38" t="str">
        <f>HYPERLINK("http://enext.ua/i0100006")</f>
        <v>http://enext.ua/i0100006</v>
      </c>
    </row>
    <row r="932" spans="2:7" ht="11.25" outlineLevel="3" x14ac:dyDescent="0.2">
      <c r="B932" s="14" t="s">
        <v>1784</v>
      </c>
      <c r="C932" s="14" t="s">
        <v>1785</v>
      </c>
      <c r="D932" s="14">
        <v>1</v>
      </c>
      <c r="E932" s="17">
        <v>3229.05</v>
      </c>
      <c r="F932" s="16" t="s">
        <v>8</v>
      </c>
      <c r="G932" s="38" t="str">
        <f>HYPERLINK("http://enext.ua/i0100008")</f>
        <v>http://enext.ua/i0100008</v>
      </c>
    </row>
    <row r="933" spans="2:7" ht="11.25" outlineLevel="3" x14ac:dyDescent="0.2">
      <c r="B933" s="14" t="s">
        <v>1786</v>
      </c>
      <c r="C933" s="14" t="s">
        <v>1787</v>
      </c>
      <c r="D933" s="14">
        <v>1</v>
      </c>
      <c r="E933" s="17">
        <v>3229.05</v>
      </c>
      <c r="F933" s="16" t="s">
        <v>8</v>
      </c>
      <c r="G933" s="38" t="str">
        <f>HYPERLINK("http://enext.ua/i0100009")</f>
        <v>http://enext.ua/i0100009</v>
      </c>
    </row>
    <row r="934" spans="2:7" ht="11.25" outlineLevel="3" x14ac:dyDescent="0.2">
      <c r="B934" s="14" t="s">
        <v>1788</v>
      </c>
      <c r="C934" s="14" t="s">
        <v>1789</v>
      </c>
      <c r="D934" s="14">
        <v>1</v>
      </c>
      <c r="E934" s="17">
        <v>3792.53</v>
      </c>
      <c r="F934" s="16" t="s">
        <v>8</v>
      </c>
      <c r="G934" s="38" t="str">
        <f>HYPERLINK("http://enext.ua/i0100010")</f>
        <v>http://enext.ua/i0100010</v>
      </c>
    </row>
    <row r="935" spans="2:7" ht="11.25" outlineLevel="3" x14ac:dyDescent="0.2">
      <c r="B935" s="14" t="s">
        <v>1790</v>
      </c>
      <c r="C935" s="14" t="s">
        <v>1791</v>
      </c>
      <c r="D935" s="14">
        <v>1</v>
      </c>
      <c r="E935" s="17">
        <v>3792.53</v>
      </c>
      <c r="F935" s="16" t="s">
        <v>8</v>
      </c>
      <c r="G935" s="38" t="str">
        <f>HYPERLINK("http://enext.ua/i0100011")</f>
        <v>http://enext.ua/i0100011</v>
      </c>
    </row>
    <row r="936" spans="2:7" ht="12" outlineLevel="2" x14ac:dyDescent="0.2">
      <c r="B936" s="8"/>
      <c r="C936" s="35" t="s">
        <v>1792</v>
      </c>
      <c r="D936" s="8"/>
      <c r="E936" s="9"/>
      <c r="F936" s="9"/>
      <c r="G936" s="8"/>
    </row>
    <row r="937" spans="2:7" ht="12" outlineLevel="3" x14ac:dyDescent="0.2">
      <c r="B937" s="10"/>
      <c r="C937" s="36" t="s">
        <v>1793</v>
      </c>
      <c r="D937" s="10"/>
      <c r="E937" s="11"/>
      <c r="F937" s="11"/>
      <c r="G937" s="10"/>
    </row>
    <row r="938" spans="2:7" ht="11.25" outlineLevel="4" x14ac:dyDescent="0.2">
      <c r="B938" s="14" t="s">
        <v>1794</v>
      </c>
      <c r="C938" s="14" t="s">
        <v>1795</v>
      </c>
      <c r="D938" s="14">
        <v>1</v>
      </c>
      <c r="E938" s="15">
        <v>616.47</v>
      </c>
      <c r="F938" s="16" t="s">
        <v>8</v>
      </c>
      <c r="G938" s="38" t="str">
        <f>HYPERLINK("http://enext.ua/p004015")</f>
        <v>http://enext.ua/p004015</v>
      </c>
    </row>
    <row r="939" spans="2:7" ht="11.25" outlineLevel="4" x14ac:dyDescent="0.2">
      <c r="B939" s="14" t="s">
        <v>1796</v>
      </c>
      <c r="C939" s="14" t="s">
        <v>1797</v>
      </c>
      <c r="D939" s="14">
        <v>1</v>
      </c>
      <c r="E939" s="15">
        <v>616.47</v>
      </c>
      <c r="F939" s="16" t="s">
        <v>8</v>
      </c>
      <c r="G939" s="38" t="str">
        <f>HYPERLINK("http://enext.ua/p004016")</f>
        <v>http://enext.ua/p004016</v>
      </c>
    </row>
    <row r="940" spans="2:7" ht="11.25" outlineLevel="4" x14ac:dyDescent="0.2">
      <c r="B940" s="14" t="s">
        <v>1798</v>
      </c>
      <c r="C940" s="14" t="s">
        <v>1799</v>
      </c>
      <c r="D940" s="14">
        <v>1</v>
      </c>
      <c r="E940" s="15">
        <v>616.47</v>
      </c>
      <c r="F940" s="16" t="s">
        <v>8</v>
      </c>
      <c r="G940" s="38" t="str">
        <f>HYPERLINK("http://enext.ua/p004017")</f>
        <v>http://enext.ua/p004017</v>
      </c>
    </row>
    <row r="941" spans="2:7" ht="11.25" outlineLevel="4" x14ac:dyDescent="0.2">
      <c r="B941" s="14" t="s">
        <v>1800</v>
      </c>
      <c r="C941" s="14" t="s">
        <v>1801</v>
      </c>
      <c r="D941" s="14">
        <v>1</v>
      </c>
      <c r="E941" s="15">
        <v>616.47</v>
      </c>
      <c r="F941" s="16" t="s">
        <v>8</v>
      </c>
      <c r="G941" s="38" t="str">
        <f>HYPERLINK("http://enext.ua/p004001")</f>
        <v>http://enext.ua/p004001</v>
      </c>
    </row>
    <row r="942" spans="2:7" ht="11.25" outlineLevel="4" x14ac:dyDescent="0.2">
      <c r="B942" s="14" t="s">
        <v>1802</v>
      </c>
      <c r="C942" s="14" t="s">
        <v>1803</v>
      </c>
      <c r="D942" s="14">
        <v>1</v>
      </c>
      <c r="E942" s="15">
        <v>616.47</v>
      </c>
      <c r="F942" s="16" t="s">
        <v>8</v>
      </c>
      <c r="G942" s="38" t="str">
        <f>HYPERLINK("http://enext.ua/p004002")</f>
        <v>http://enext.ua/p004002</v>
      </c>
    </row>
    <row r="943" spans="2:7" ht="11.25" outlineLevel="4" x14ac:dyDescent="0.2">
      <c r="B943" s="14" t="s">
        <v>1804</v>
      </c>
      <c r="C943" s="14" t="s">
        <v>1805</v>
      </c>
      <c r="D943" s="14">
        <v>1</v>
      </c>
      <c r="E943" s="15">
        <v>616.47</v>
      </c>
      <c r="F943" s="16" t="s">
        <v>8</v>
      </c>
      <c r="G943" s="38" t="str">
        <f>HYPERLINK("http://enext.ua/p004003")</f>
        <v>http://enext.ua/p004003</v>
      </c>
    </row>
    <row r="944" spans="2:7" ht="11.25" outlineLevel="4" x14ac:dyDescent="0.2">
      <c r="B944" s="14" t="s">
        <v>1806</v>
      </c>
      <c r="C944" s="14" t="s">
        <v>1807</v>
      </c>
      <c r="D944" s="14">
        <v>1</v>
      </c>
      <c r="E944" s="15">
        <v>616.47</v>
      </c>
      <c r="F944" s="16" t="s">
        <v>8</v>
      </c>
      <c r="G944" s="38" t="str">
        <f>HYPERLINK("http://enext.ua/p004004")</f>
        <v>http://enext.ua/p004004</v>
      </c>
    </row>
    <row r="945" spans="2:7" ht="11.25" outlineLevel="4" x14ac:dyDescent="0.2">
      <c r="B945" s="14" t="s">
        <v>1808</v>
      </c>
      <c r="C945" s="14" t="s">
        <v>1809</v>
      </c>
      <c r="D945" s="14">
        <v>1</v>
      </c>
      <c r="E945" s="15">
        <v>616.47</v>
      </c>
      <c r="F945" s="16" t="s">
        <v>8</v>
      </c>
      <c r="G945" s="38" t="str">
        <f>HYPERLINK("http://enext.ua/p004005")</f>
        <v>http://enext.ua/p004005</v>
      </c>
    </row>
    <row r="946" spans="2:7" ht="11.25" outlineLevel="4" x14ac:dyDescent="0.2">
      <c r="B946" s="14" t="s">
        <v>1810</v>
      </c>
      <c r="C946" s="14" t="s">
        <v>1811</v>
      </c>
      <c r="D946" s="14">
        <v>1</v>
      </c>
      <c r="E946" s="15">
        <v>616.47</v>
      </c>
      <c r="F946" s="16" t="s">
        <v>8</v>
      </c>
      <c r="G946" s="38" t="str">
        <f>HYPERLINK("http://enext.ua/p004018")</f>
        <v>http://enext.ua/p004018</v>
      </c>
    </row>
    <row r="947" spans="2:7" ht="11.25" outlineLevel="4" x14ac:dyDescent="0.2">
      <c r="B947" s="14" t="s">
        <v>1812</v>
      </c>
      <c r="C947" s="14" t="s">
        <v>1813</v>
      </c>
      <c r="D947" s="14">
        <v>1</v>
      </c>
      <c r="E947" s="15">
        <v>616.47</v>
      </c>
      <c r="F947" s="16" t="s">
        <v>8</v>
      </c>
      <c r="G947" s="38" t="str">
        <f>HYPERLINK("http://enext.ua/p004019")</f>
        <v>http://enext.ua/p004019</v>
      </c>
    </row>
    <row r="948" spans="2:7" ht="11.25" outlineLevel="4" x14ac:dyDescent="0.2">
      <c r="B948" s="14" t="s">
        <v>1814</v>
      </c>
      <c r="C948" s="14" t="s">
        <v>1815</v>
      </c>
      <c r="D948" s="14">
        <v>1</v>
      </c>
      <c r="E948" s="15">
        <v>616.47</v>
      </c>
      <c r="F948" s="16" t="s">
        <v>8</v>
      </c>
      <c r="G948" s="38" t="str">
        <f>HYPERLINK("http://enext.ua/p004007")</f>
        <v>http://enext.ua/p004007</v>
      </c>
    </row>
    <row r="949" spans="2:7" ht="11.25" outlineLevel="4" x14ac:dyDescent="0.2">
      <c r="B949" s="14" t="s">
        <v>1816</v>
      </c>
      <c r="C949" s="14" t="s">
        <v>1817</v>
      </c>
      <c r="D949" s="14">
        <v>1</v>
      </c>
      <c r="E949" s="15">
        <v>616.47</v>
      </c>
      <c r="F949" s="16" t="s">
        <v>8</v>
      </c>
      <c r="G949" s="38" t="str">
        <f>HYPERLINK("http://enext.ua/p004020")</f>
        <v>http://enext.ua/p004020</v>
      </c>
    </row>
    <row r="950" spans="2:7" ht="11.25" outlineLevel="4" x14ac:dyDescent="0.2">
      <c r="B950" s="14" t="s">
        <v>1818</v>
      </c>
      <c r="C950" s="14" t="s">
        <v>1819</v>
      </c>
      <c r="D950" s="14">
        <v>1</v>
      </c>
      <c r="E950" s="15">
        <v>616.47</v>
      </c>
      <c r="F950" s="16" t="s">
        <v>8</v>
      </c>
      <c r="G950" s="38" t="str">
        <f>HYPERLINK("http://enext.ua/p004021")</f>
        <v>http://enext.ua/p004021</v>
      </c>
    </row>
    <row r="951" spans="2:7" ht="11.25" outlineLevel="4" x14ac:dyDescent="0.2">
      <c r="B951" s="14" t="s">
        <v>1820</v>
      </c>
      <c r="C951" s="14" t="s">
        <v>1821</v>
      </c>
      <c r="D951" s="14">
        <v>1</v>
      </c>
      <c r="E951" s="17">
        <v>2022.41</v>
      </c>
      <c r="F951" s="16" t="s">
        <v>8</v>
      </c>
      <c r="G951" s="38" t="str">
        <f>HYPERLINK("http://enext.ua/p004022")</f>
        <v>http://enext.ua/p004022</v>
      </c>
    </row>
    <row r="952" spans="2:7" ht="11.25" outlineLevel="4" x14ac:dyDescent="0.2">
      <c r="B952" s="14" t="s">
        <v>1822</v>
      </c>
      <c r="C952" s="14" t="s">
        <v>1823</v>
      </c>
      <c r="D952" s="14">
        <v>1</v>
      </c>
      <c r="E952" s="17">
        <v>2022.41</v>
      </c>
      <c r="F952" s="16" t="s">
        <v>8</v>
      </c>
      <c r="G952" s="38" t="str">
        <f>HYPERLINK("http://enext.ua/p004010")</f>
        <v>http://enext.ua/p004010</v>
      </c>
    </row>
    <row r="953" spans="2:7" ht="11.25" outlineLevel="4" x14ac:dyDescent="0.2">
      <c r="B953" s="14" t="s">
        <v>1824</v>
      </c>
      <c r="C953" s="14" t="s">
        <v>1825</v>
      </c>
      <c r="D953" s="14">
        <v>1</v>
      </c>
      <c r="E953" s="17">
        <v>2022.41</v>
      </c>
      <c r="F953" s="16" t="s">
        <v>8</v>
      </c>
      <c r="G953" s="38" t="str">
        <f>HYPERLINK("http://enext.ua/p004011")</f>
        <v>http://enext.ua/p004011</v>
      </c>
    </row>
    <row r="954" spans="2:7" ht="24" outlineLevel="3" x14ac:dyDescent="0.2">
      <c r="B954" s="10"/>
      <c r="C954" s="36" t="s">
        <v>1826</v>
      </c>
      <c r="D954" s="10"/>
      <c r="E954" s="11"/>
      <c r="F954" s="11"/>
      <c r="G954" s="10"/>
    </row>
    <row r="955" spans="2:7" ht="11.25" outlineLevel="4" x14ac:dyDescent="0.2">
      <c r="B955" s="14" t="s">
        <v>1827</v>
      </c>
      <c r="C955" s="14" t="s">
        <v>1828</v>
      </c>
      <c r="D955" s="14">
        <v>1</v>
      </c>
      <c r="E955" s="15">
        <v>449.17</v>
      </c>
      <c r="F955" s="16" t="s">
        <v>8</v>
      </c>
      <c r="G955" s="38" t="str">
        <f>HYPERLINK("http://enext.ua/p004036")</f>
        <v>http://enext.ua/p004036</v>
      </c>
    </row>
    <row r="956" spans="2:7" ht="11.25" outlineLevel="4" x14ac:dyDescent="0.2">
      <c r="B956" s="14" t="s">
        <v>1829</v>
      </c>
      <c r="C956" s="14" t="s">
        <v>1830</v>
      </c>
      <c r="D956" s="14">
        <v>10</v>
      </c>
      <c r="E956" s="15">
        <v>294.25</v>
      </c>
      <c r="F956" s="16" t="s">
        <v>8</v>
      </c>
      <c r="G956" s="38" t="str">
        <f>HYPERLINK("http://enext.ua/p004034")</f>
        <v>http://enext.ua/p004034</v>
      </c>
    </row>
    <row r="957" spans="2:7" ht="11.25" outlineLevel="4" x14ac:dyDescent="0.2">
      <c r="B957" s="14" t="s">
        <v>1831</v>
      </c>
      <c r="C957" s="14" t="s">
        <v>1832</v>
      </c>
      <c r="D957" s="14">
        <v>10</v>
      </c>
      <c r="E957" s="15">
        <v>294.25</v>
      </c>
      <c r="F957" s="16" t="s">
        <v>8</v>
      </c>
      <c r="G957" s="38" t="str">
        <f>HYPERLINK("http://enext.ua/p004035")</f>
        <v>http://enext.ua/p004035</v>
      </c>
    </row>
    <row r="958" spans="2:7" ht="11.25" outlineLevel="4" x14ac:dyDescent="0.2">
      <c r="B958" s="14" t="s">
        <v>1833</v>
      </c>
      <c r="C958" s="14" t="s">
        <v>1834</v>
      </c>
      <c r="D958" s="14">
        <v>10</v>
      </c>
      <c r="E958" s="15">
        <v>294.25</v>
      </c>
      <c r="F958" s="16" t="s">
        <v>8</v>
      </c>
      <c r="G958" s="38" t="str">
        <f>HYPERLINK("http://enext.ua/p004033")</f>
        <v>http://enext.ua/p004033</v>
      </c>
    </row>
    <row r="959" spans="2:7" ht="11.25" outlineLevel="4" x14ac:dyDescent="0.2">
      <c r="B959" s="14" t="s">
        <v>1835</v>
      </c>
      <c r="C959" s="14" t="s">
        <v>1836</v>
      </c>
      <c r="D959" s="14">
        <v>10</v>
      </c>
      <c r="E959" s="15">
        <v>294.25</v>
      </c>
      <c r="F959" s="16" t="s">
        <v>8</v>
      </c>
      <c r="G959" s="38" t="str">
        <f>HYPERLINK("http://enext.ua/p004028")</f>
        <v>http://enext.ua/p004028</v>
      </c>
    </row>
    <row r="960" spans="2:7" ht="11.25" outlineLevel="4" x14ac:dyDescent="0.2">
      <c r="B960" s="14" t="s">
        <v>1837</v>
      </c>
      <c r="C960" s="14" t="s">
        <v>1838</v>
      </c>
      <c r="D960" s="14">
        <v>10</v>
      </c>
      <c r="E960" s="15">
        <v>112.4</v>
      </c>
      <c r="F960" s="16" t="s">
        <v>8</v>
      </c>
      <c r="G960" s="38" t="str">
        <f>HYPERLINK("http://enext.ua/p004025")</f>
        <v>http://enext.ua/p004025</v>
      </c>
    </row>
    <row r="961" spans="2:7" ht="11.25" outlineLevel="4" x14ac:dyDescent="0.2">
      <c r="B961" s="14" t="s">
        <v>1839</v>
      </c>
      <c r="C961" s="14" t="s">
        <v>1840</v>
      </c>
      <c r="D961" s="14">
        <v>10</v>
      </c>
      <c r="E961" s="15">
        <v>128.29</v>
      </c>
      <c r="F961" s="16" t="s">
        <v>8</v>
      </c>
      <c r="G961" s="38" t="str">
        <f>HYPERLINK("http://enext.ua/p004026")</f>
        <v>http://enext.ua/p004026</v>
      </c>
    </row>
    <row r="962" spans="2:7" ht="11.25" outlineLevel="4" x14ac:dyDescent="0.2">
      <c r="B962" s="14" t="s">
        <v>1841</v>
      </c>
      <c r="C962" s="14" t="s">
        <v>1842</v>
      </c>
      <c r="D962" s="14">
        <v>1</v>
      </c>
      <c r="E962" s="15">
        <v>155.08000000000001</v>
      </c>
      <c r="F962" s="16" t="s">
        <v>8</v>
      </c>
      <c r="G962" s="38" t="str">
        <f>HYPERLINK("http://enext.ua/p004029")</f>
        <v>http://enext.ua/p004029</v>
      </c>
    </row>
    <row r="963" spans="2:7" ht="11.25" outlineLevel="4" x14ac:dyDescent="0.2">
      <c r="B963" s="14" t="s">
        <v>1843</v>
      </c>
      <c r="C963" s="14" t="s">
        <v>1844</v>
      </c>
      <c r="D963" s="14">
        <v>1</v>
      </c>
      <c r="E963" s="15">
        <v>155.08000000000001</v>
      </c>
      <c r="F963" s="16" t="s">
        <v>8</v>
      </c>
      <c r="G963" s="38" t="str">
        <f>HYPERLINK("http://enext.ua/p004030")</f>
        <v>http://enext.ua/p004030</v>
      </c>
    </row>
    <row r="964" spans="2:7" ht="11.25" outlineLevel="4" x14ac:dyDescent="0.2">
      <c r="B964" s="14" t="s">
        <v>1845</v>
      </c>
      <c r="C964" s="14" t="s">
        <v>1846</v>
      </c>
      <c r="D964" s="14">
        <v>1</v>
      </c>
      <c r="E964" s="15">
        <v>351.64</v>
      </c>
      <c r="F964" s="16" t="s">
        <v>8</v>
      </c>
      <c r="G964" s="38" t="str">
        <f>HYPERLINK("http://enext.ua/p004024")</f>
        <v>http://enext.ua/p004024</v>
      </c>
    </row>
    <row r="965" spans="2:7" ht="11.25" outlineLevel="4" x14ac:dyDescent="0.2">
      <c r="B965" s="14" t="s">
        <v>1847</v>
      </c>
      <c r="C965" s="14" t="s">
        <v>1848</v>
      </c>
      <c r="D965" s="14">
        <v>1</v>
      </c>
      <c r="E965" s="15">
        <v>351.64</v>
      </c>
      <c r="F965" s="16" t="s">
        <v>8</v>
      </c>
      <c r="G965" s="38" t="str">
        <f>HYPERLINK("http://enext.ua/p004031")</f>
        <v>http://enext.ua/p004031</v>
      </c>
    </row>
    <row r="966" spans="2:7" ht="11.25" outlineLevel="4" x14ac:dyDescent="0.2">
      <c r="B966" s="14" t="s">
        <v>1849</v>
      </c>
      <c r="C966" s="14" t="s">
        <v>1850</v>
      </c>
      <c r="D966" s="14">
        <v>1</v>
      </c>
      <c r="E966" s="15">
        <v>386.36</v>
      </c>
      <c r="F966" s="16" t="s">
        <v>8</v>
      </c>
      <c r="G966" s="38" t="str">
        <f>HYPERLINK("http://enext.ua/p004032")</f>
        <v>http://enext.ua/p004032</v>
      </c>
    </row>
    <row r="967" spans="2:7" ht="11.25" outlineLevel="4" x14ac:dyDescent="0.2">
      <c r="B967" s="14" t="s">
        <v>1851</v>
      </c>
      <c r="C967" s="14" t="s">
        <v>1852</v>
      </c>
      <c r="D967" s="14">
        <v>1</v>
      </c>
      <c r="E967" s="15">
        <v>386.36</v>
      </c>
      <c r="F967" s="16" t="s">
        <v>8</v>
      </c>
      <c r="G967" s="38" t="str">
        <f>HYPERLINK("http://enext.ua/p004027")</f>
        <v>http://enext.ua/p004027</v>
      </c>
    </row>
    <row r="968" spans="2:7" ht="12" outlineLevel="2" x14ac:dyDescent="0.2">
      <c r="B968" s="8"/>
      <c r="C968" s="35" t="s">
        <v>1853</v>
      </c>
      <c r="D968" s="8"/>
      <c r="E968" s="9"/>
      <c r="F968" s="9"/>
      <c r="G968" s="8"/>
    </row>
    <row r="969" spans="2:7" ht="11.25" outlineLevel="3" x14ac:dyDescent="0.2">
      <c r="B969" s="14" t="s">
        <v>1854</v>
      </c>
      <c r="C969" s="14" t="s">
        <v>1855</v>
      </c>
      <c r="D969" s="14">
        <v>50</v>
      </c>
      <c r="E969" s="15">
        <v>60.63</v>
      </c>
      <c r="F969" s="16" t="s">
        <v>8</v>
      </c>
      <c r="G969" s="38" t="str">
        <f>HYPERLINK("http://enext.ua/i.my3.12ac")</f>
        <v>http://enext.ua/i.my3.12ac</v>
      </c>
    </row>
    <row r="970" spans="2:7" ht="11.25" outlineLevel="3" x14ac:dyDescent="0.2">
      <c r="B970" s="14" t="s">
        <v>1856</v>
      </c>
      <c r="C970" s="14" t="s">
        <v>1857</v>
      </c>
      <c r="D970" s="14">
        <v>50</v>
      </c>
      <c r="E970" s="15">
        <v>60.63</v>
      </c>
      <c r="F970" s="16" t="s">
        <v>8</v>
      </c>
      <c r="G970" s="38" t="str">
        <f>HYPERLINK("http://enext.ua/i.my3.12dc")</f>
        <v>http://enext.ua/i.my3.12dc</v>
      </c>
    </row>
    <row r="971" spans="2:7" ht="11.25" outlineLevel="3" x14ac:dyDescent="0.2">
      <c r="B971" s="14" t="s">
        <v>1858</v>
      </c>
      <c r="C971" s="14" t="s">
        <v>1859</v>
      </c>
      <c r="D971" s="14">
        <v>50</v>
      </c>
      <c r="E971" s="15">
        <v>60.63</v>
      </c>
      <c r="F971" s="16" t="s">
        <v>8</v>
      </c>
      <c r="G971" s="38" t="str">
        <f>HYPERLINK("http://enext.ua/i.my3.24ac")</f>
        <v>http://enext.ua/i.my3.24ac</v>
      </c>
    </row>
    <row r="972" spans="2:7" ht="11.25" outlineLevel="3" x14ac:dyDescent="0.2">
      <c r="B972" s="14" t="s">
        <v>1860</v>
      </c>
      <c r="C972" s="14" t="s">
        <v>1861</v>
      </c>
      <c r="D972" s="14">
        <v>50</v>
      </c>
      <c r="E972" s="15">
        <v>60.63</v>
      </c>
      <c r="F972" s="16" t="s">
        <v>8</v>
      </c>
      <c r="G972" s="38" t="str">
        <f>HYPERLINK("http://enext.ua/i.my3.24dc")</f>
        <v>http://enext.ua/i.my3.24dc</v>
      </c>
    </row>
    <row r="973" spans="2:7" ht="11.25" outlineLevel="3" x14ac:dyDescent="0.2">
      <c r="B973" s="14" t="s">
        <v>1862</v>
      </c>
      <c r="C973" s="14" t="s">
        <v>1863</v>
      </c>
      <c r="D973" s="14">
        <v>50</v>
      </c>
      <c r="E973" s="15">
        <v>60.63</v>
      </c>
      <c r="F973" s="16" t="s">
        <v>8</v>
      </c>
      <c r="G973" s="38" t="str">
        <f>HYPERLINK("http://enext.ua/i.my3.110ac")</f>
        <v>http://enext.ua/i.my3.110ac</v>
      </c>
    </row>
    <row r="974" spans="2:7" ht="11.25" outlineLevel="3" x14ac:dyDescent="0.2">
      <c r="B974" s="14" t="s">
        <v>1864</v>
      </c>
      <c r="C974" s="14" t="s">
        <v>1865</v>
      </c>
      <c r="D974" s="14">
        <v>50</v>
      </c>
      <c r="E974" s="15">
        <v>60.63</v>
      </c>
      <c r="F974" s="16" t="s">
        <v>8</v>
      </c>
      <c r="G974" s="38" t="str">
        <f>HYPERLINK("http://enext.ua/i.my3.230ac")</f>
        <v>http://enext.ua/i.my3.230ac</v>
      </c>
    </row>
    <row r="975" spans="2:7" ht="11.25" outlineLevel="3" x14ac:dyDescent="0.2">
      <c r="B975" s="14" t="s">
        <v>1866</v>
      </c>
      <c r="C975" s="14" t="s">
        <v>1867</v>
      </c>
      <c r="D975" s="14">
        <v>50</v>
      </c>
      <c r="E975" s="15">
        <v>64.2</v>
      </c>
      <c r="F975" s="16" t="s">
        <v>8</v>
      </c>
      <c r="G975" s="38" t="str">
        <f>HYPERLINK("http://enext.ua/i.my4.12ac")</f>
        <v>http://enext.ua/i.my4.12ac</v>
      </c>
    </row>
    <row r="976" spans="2:7" ht="11.25" outlineLevel="3" x14ac:dyDescent="0.2">
      <c r="B976" s="14" t="s">
        <v>1868</v>
      </c>
      <c r="C976" s="14" t="s">
        <v>1869</v>
      </c>
      <c r="D976" s="14">
        <v>50</v>
      </c>
      <c r="E976" s="15">
        <v>64.2</v>
      </c>
      <c r="F976" s="16" t="s">
        <v>8</v>
      </c>
      <c r="G976" s="38" t="str">
        <f>HYPERLINK("http://enext.ua/i.my4.12dc")</f>
        <v>http://enext.ua/i.my4.12dc</v>
      </c>
    </row>
    <row r="977" spans="2:7" ht="11.25" outlineLevel="3" x14ac:dyDescent="0.2">
      <c r="B977" s="14" t="s">
        <v>1870</v>
      </c>
      <c r="C977" s="14" t="s">
        <v>1871</v>
      </c>
      <c r="D977" s="14">
        <v>50</v>
      </c>
      <c r="E977" s="15">
        <v>64.2</v>
      </c>
      <c r="F977" s="16" t="s">
        <v>8</v>
      </c>
      <c r="G977" s="38" t="str">
        <f>HYPERLINK("http://enext.ua/i.my4.24ac")</f>
        <v>http://enext.ua/i.my4.24ac</v>
      </c>
    </row>
    <row r="978" spans="2:7" ht="11.25" outlineLevel="3" x14ac:dyDescent="0.2">
      <c r="B978" s="14" t="s">
        <v>1872</v>
      </c>
      <c r="C978" s="14" t="s">
        <v>1873</v>
      </c>
      <c r="D978" s="14">
        <v>50</v>
      </c>
      <c r="E978" s="15">
        <v>64.2</v>
      </c>
      <c r="F978" s="16" t="s">
        <v>8</v>
      </c>
      <c r="G978" s="38" t="str">
        <f>HYPERLINK("http://enext.ua/i.my4.24dc")</f>
        <v>http://enext.ua/i.my4.24dc</v>
      </c>
    </row>
    <row r="979" spans="2:7" ht="11.25" outlineLevel="3" x14ac:dyDescent="0.2">
      <c r="B979" s="14" t="s">
        <v>1874</v>
      </c>
      <c r="C979" s="14" t="s">
        <v>1875</v>
      </c>
      <c r="D979" s="14">
        <v>50</v>
      </c>
      <c r="E979" s="15">
        <v>64.2</v>
      </c>
      <c r="F979" s="16" t="s">
        <v>8</v>
      </c>
      <c r="G979" s="38" t="str">
        <f>HYPERLINK("http://enext.ua/i.my4.110ac")</f>
        <v>http://enext.ua/i.my4.110ac</v>
      </c>
    </row>
    <row r="980" spans="2:7" ht="11.25" outlineLevel="3" x14ac:dyDescent="0.2">
      <c r="B980" s="14" t="s">
        <v>1876</v>
      </c>
      <c r="C980" s="14" t="s">
        <v>1877</v>
      </c>
      <c r="D980" s="14">
        <v>50</v>
      </c>
      <c r="E980" s="15">
        <v>64.2</v>
      </c>
      <c r="F980" s="16" t="s">
        <v>8</v>
      </c>
      <c r="G980" s="38" t="str">
        <f>HYPERLINK("http://enext.ua/i.my4.230ac")</f>
        <v>http://enext.ua/i.my4.230ac</v>
      </c>
    </row>
    <row r="981" spans="2:7" ht="11.25" outlineLevel="3" x14ac:dyDescent="0.2">
      <c r="B981" s="14" t="s">
        <v>1878</v>
      </c>
      <c r="C981" s="14" t="s">
        <v>1879</v>
      </c>
      <c r="D981" s="14">
        <v>20</v>
      </c>
      <c r="E981" s="15">
        <v>109.73</v>
      </c>
      <c r="F981" s="16" t="s">
        <v>8</v>
      </c>
      <c r="G981" s="38" t="str">
        <f>HYPERLINK("http://enext.ua/i.ly3.12ac")</f>
        <v>http://enext.ua/i.ly3.12ac</v>
      </c>
    </row>
    <row r="982" spans="2:7" ht="11.25" outlineLevel="3" x14ac:dyDescent="0.2">
      <c r="B982" s="14" t="s">
        <v>1880</v>
      </c>
      <c r="C982" s="14" t="s">
        <v>1881</v>
      </c>
      <c r="D982" s="14">
        <v>20</v>
      </c>
      <c r="E982" s="15">
        <v>109.73</v>
      </c>
      <c r="F982" s="16" t="s">
        <v>8</v>
      </c>
      <c r="G982" s="38" t="str">
        <f>HYPERLINK("http://enext.ua/i.ly3.12dc")</f>
        <v>http://enext.ua/i.ly3.12dc</v>
      </c>
    </row>
    <row r="983" spans="2:7" ht="11.25" outlineLevel="3" x14ac:dyDescent="0.2">
      <c r="B983" s="14" t="s">
        <v>1882</v>
      </c>
      <c r="C983" s="14" t="s">
        <v>1883</v>
      </c>
      <c r="D983" s="14">
        <v>20</v>
      </c>
      <c r="E983" s="15">
        <v>109.73</v>
      </c>
      <c r="F983" s="16" t="s">
        <v>8</v>
      </c>
      <c r="G983" s="38" t="str">
        <f>HYPERLINK("http://enext.ua/i.ly3.24ac")</f>
        <v>http://enext.ua/i.ly3.24ac</v>
      </c>
    </row>
    <row r="984" spans="2:7" ht="11.25" outlineLevel="3" x14ac:dyDescent="0.2">
      <c r="B984" s="14" t="s">
        <v>1884</v>
      </c>
      <c r="C984" s="14" t="s">
        <v>1885</v>
      </c>
      <c r="D984" s="14">
        <v>20</v>
      </c>
      <c r="E984" s="15">
        <v>109.73</v>
      </c>
      <c r="F984" s="16" t="s">
        <v>8</v>
      </c>
      <c r="G984" s="38" t="str">
        <f>HYPERLINK("http://enext.ua/i.ly3.24dc")</f>
        <v>http://enext.ua/i.ly3.24dc</v>
      </c>
    </row>
    <row r="985" spans="2:7" ht="11.25" outlineLevel="3" x14ac:dyDescent="0.2">
      <c r="B985" s="14" t="s">
        <v>1886</v>
      </c>
      <c r="C985" s="14" t="s">
        <v>1887</v>
      </c>
      <c r="D985" s="14">
        <v>20</v>
      </c>
      <c r="E985" s="15">
        <v>109.73</v>
      </c>
      <c r="F985" s="16" t="s">
        <v>8</v>
      </c>
      <c r="G985" s="38" t="str">
        <f>HYPERLINK("http://enext.ua/i.ly3.110ac")</f>
        <v>http://enext.ua/i.ly3.110ac</v>
      </c>
    </row>
    <row r="986" spans="2:7" ht="11.25" outlineLevel="3" x14ac:dyDescent="0.2">
      <c r="B986" s="14" t="s">
        <v>1888</v>
      </c>
      <c r="C986" s="14" t="s">
        <v>1889</v>
      </c>
      <c r="D986" s="14">
        <v>20</v>
      </c>
      <c r="E986" s="15">
        <v>109.73</v>
      </c>
      <c r="F986" s="16" t="s">
        <v>8</v>
      </c>
      <c r="G986" s="38" t="str">
        <f>HYPERLINK("http://enext.ua/i.ly3.230ac")</f>
        <v>http://enext.ua/i.ly3.230ac</v>
      </c>
    </row>
    <row r="987" spans="2:7" ht="11.25" outlineLevel="3" x14ac:dyDescent="0.2">
      <c r="B987" s="14" t="s">
        <v>1890</v>
      </c>
      <c r="C987" s="14" t="s">
        <v>1891</v>
      </c>
      <c r="D987" s="14">
        <v>20</v>
      </c>
      <c r="E987" s="15">
        <v>121.25</v>
      </c>
      <c r="F987" s="16" t="s">
        <v>8</v>
      </c>
      <c r="G987" s="38" t="str">
        <f>HYPERLINK("http://enext.ua/i.ly4.12ac")</f>
        <v>http://enext.ua/i.ly4.12ac</v>
      </c>
    </row>
    <row r="988" spans="2:7" ht="11.25" outlineLevel="3" x14ac:dyDescent="0.2">
      <c r="B988" s="14" t="s">
        <v>1892</v>
      </c>
      <c r="C988" s="14" t="s">
        <v>1893</v>
      </c>
      <c r="D988" s="14">
        <v>20</v>
      </c>
      <c r="E988" s="15">
        <v>121.25</v>
      </c>
      <c r="F988" s="16" t="s">
        <v>8</v>
      </c>
      <c r="G988" s="38" t="str">
        <f>HYPERLINK("http://enext.ua/i.ly4.12dc")</f>
        <v>http://enext.ua/i.ly4.12dc</v>
      </c>
    </row>
    <row r="989" spans="2:7" ht="11.25" outlineLevel="3" x14ac:dyDescent="0.2">
      <c r="B989" s="14" t="s">
        <v>1894</v>
      </c>
      <c r="C989" s="14" t="s">
        <v>1895</v>
      </c>
      <c r="D989" s="14">
        <v>20</v>
      </c>
      <c r="E989" s="15">
        <v>121.25</v>
      </c>
      <c r="F989" s="16" t="s">
        <v>8</v>
      </c>
      <c r="G989" s="38" t="str">
        <f>HYPERLINK("http://enext.ua/i.ly4.24ac")</f>
        <v>http://enext.ua/i.ly4.24ac</v>
      </c>
    </row>
    <row r="990" spans="2:7" ht="11.25" outlineLevel="3" x14ac:dyDescent="0.2">
      <c r="B990" s="14" t="s">
        <v>1896</v>
      </c>
      <c r="C990" s="14" t="s">
        <v>1897</v>
      </c>
      <c r="D990" s="14">
        <v>20</v>
      </c>
      <c r="E990" s="15">
        <v>121.25</v>
      </c>
      <c r="F990" s="16" t="s">
        <v>8</v>
      </c>
      <c r="G990" s="38" t="str">
        <f>HYPERLINK("http://enext.ua/i.ly4.24dc")</f>
        <v>http://enext.ua/i.ly4.24dc</v>
      </c>
    </row>
    <row r="991" spans="2:7" ht="11.25" outlineLevel="3" x14ac:dyDescent="0.2">
      <c r="B991" s="14" t="s">
        <v>1898</v>
      </c>
      <c r="C991" s="14" t="s">
        <v>1899</v>
      </c>
      <c r="D991" s="14">
        <v>20</v>
      </c>
      <c r="E991" s="15">
        <v>121.25</v>
      </c>
      <c r="F991" s="16" t="s">
        <v>8</v>
      </c>
      <c r="G991" s="38" t="str">
        <f>HYPERLINK("http://enext.ua/i.ly4.110ac")</f>
        <v>http://enext.ua/i.ly4.110ac</v>
      </c>
    </row>
    <row r="992" spans="2:7" ht="11.25" outlineLevel="3" x14ac:dyDescent="0.2">
      <c r="B992" s="14" t="s">
        <v>1900</v>
      </c>
      <c r="C992" s="14" t="s">
        <v>1901</v>
      </c>
      <c r="D992" s="14">
        <v>20</v>
      </c>
      <c r="E992" s="15">
        <v>121.25</v>
      </c>
      <c r="F992" s="16" t="s">
        <v>8</v>
      </c>
      <c r="G992" s="38" t="str">
        <f>HYPERLINK("http://enext.ua/i.ly4.230ac")</f>
        <v>http://enext.ua/i.ly4.230ac</v>
      </c>
    </row>
    <row r="993" spans="2:7" ht="22.5" outlineLevel="3" x14ac:dyDescent="0.2">
      <c r="B993" s="14" t="s">
        <v>1902</v>
      </c>
      <c r="C993" s="14" t="s">
        <v>1903</v>
      </c>
      <c r="D993" s="14">
        <v>50</v>
      </c>
      <c r="E993" s="15">
        <v>70.430000000000007</v>
      </c>
      <c r="F993" s="16" t="s">
        <v>8</v>
      </c>
      <c r="G993" s="38" t="str">
        <f>HYPERLINK("http://enext.ua/i.my3n.230ac")</f>
        <v>http://enext.ua/i.my3n.230ac</v>
      </c>
    </row>
    <row r="994" spans="2:7" ht="22.5" outlineLevel="3" x14ac:dyDescent="0.2">
      <c r="B994" s="14" t="s">
        <v>1904</v>
      </c>
      <c r="C994" s="14" t="s">
        <v>1905</v>
      </c>
      <c r="D994" s="14">
        <v>50</v>
      </c>
      <c r="E994" s="15">
        <v>70.430000000000007</v>
      </c>
      <c r="F994" s="16" t="s">
        <v>8</v>
      </c>
      <c r="G994" s="38" t="str">
        <f>HYPERLINK("http://enext.ua/i.my4n.230ac")</f>
        <v>http://enext.ua/i.my4n.230ac</v>
      </c>
    </row>
    <row r="995" spans="2:7" ht="22.5" outlineLevel="3" x14ac:dyDescent="0.2">
      <c r="B995" s="14" t="s">
        <v>1906</v>
      </c>
      <c r="C995" s="14" t="s">
        <v>1907</v>
      </c>
      <c r="D995" s="14">
        <v>20</v>
      </c>
      <c r="E995" s="15">
        <v>111.49</v>
      </c>
      <c r="F995" s="16" t="s">
        <v>8</v>
      </c>
      <c r="G995" s="38" t="str">
        <f>HYPERLINK("http://enext.ua/i.ly3n.230ac")</f>
        <v>http://enext.ua/i.ly3n.230ac</v>
      </c>
    </row>
    <row r="996" spans="2:7" ht="22.5" outlineLevel="3" x14ac:dyDescent="0.2">
      <c r="B996" s="14" t="s">
        <v>1908</v>
      </c>
      <c r="C996" s="14" t="s">
        <v>1909</v>
      </c>
      <c r="D996" s="14">
        <v>20</v>
      </c>
      <c r="E996" s="15">
        <v>125.78</v>
      </c>
      <c r="F996" s="16" t="s">
        <v>8</v>
      </c>
      <c r="G996" s="38" t="str">
        <f>HYPERLINK("http://enext.ua/i.ly4n.230ac")</f>
        <v>http://enext.ua/i.ly4n.230ac</v>
      </c>
    </row>
    <row r="997" spans="2:7" ht="11.25" outlineLevel="3" x14ac:dyDescent="0.2">
      <c r="B997" s="14" t="s">
        <v>1910</v>
      </c>
      <c r="C997" s="14" t="s">
        <v>1911</v>
      </c>
      <c r="D997" s="14">
        <v>20</v>
      </c>
      <c r="E997" s="15">
        <v>27.72</v>
      </c>
      <c r="F997" s="16" t="s">
        <v>8</v>
      </c>
      <c r="G997" s="38" t="str">
        <f>HYPERLINK("http://enext.ua/i.pif.11a")</f>
        <v>http://enext.ua/i.pif.11a</v>
      </c>
    </row>
    <row r="998" spans="2:7" ht="11.25" outlineLevel="3" x14ac:dyDescent="0.2">
      <c r="B998" s="14" t="s">
        <v>1912</v>
      </c>
      <c r="C998" s="14" t="s">
        <v>1913</v>
      </c>
      <c r="D998" s="14">
        <v>20</v>
      </c>
      <c r="E998" s="15">
        <v>27.72</v>
      </c>
      <c r="F998" s="16" t="s">
        <v>8</v>
      </c>
      <c r="G998" s="38" t="str">
        <f>HYPERLINK("http://enext.ua/i.pif.14a")</f>
        <v>http://enext.ua/i.pif.14a</v>
      </c>
    </row>
    <row r="999" spans="2:7" ht="11.25" outlineLevel="3" x14ac:dyDescent="0.2">
      <c r="B999" s="14" t="s">
        <v>1914</v>
      </c>
      <c r="C999" s="14" t="s">
        <v>1915</v>
      </c>
      <c r="D999" s="14">
        <v>10</v>
      </c>
      <c r="E999" s="15">
        <v>57.75</v>
      </c>
      <c r="F999" s="16" t="s">
        <v>8</v>
      </c>
      <c r="G999" s="38" t="str">
        <f>HYPERLINK("http://enext.ua/i.ptf.11a")</f>
        <v>http://enext.ua/i.ptf.11a</v>
      </c>
    </row>
    <row r="1000" spans="2:7" ht="11.25" outlineLevel="3" x14ac:dyDescent="0.2">
      <c r="B1000" s="14" t="s">
        <v>1916</v>
      </c>
      <c r="C1000" s="14" t="s">
        <v>1917</v>
      </c>
      <c r="D1000" s="14">
        <v>20</v>
      </c>
      <c r="E1000" s="15">
        <v>57.75</v>
      </c>
      <c r="F1000" s="16" t="s">
        <v>8</v>
      </c>
      <c r="G1000" s="38" t="str">
        <f>HYPERLINK("http://enext.ua/i.ptf.14a")</f>
        <v>http://enext.ua/i.ptf.14a</v>
      </c>
    </row>
    <row r="1001" spans="2:7" ht="12" outlineLevel="2" x14ac:dyDescent="0.2">
      <c r="B1001" s="8"/>
      <c r="C1001" s="35" t="s">
        <v>1918</v>
      </c>
      <c r="D1001" s="8"/>
      <c r="E1001" s="9"/>
      <c r="F1001" s="9"/>
      <c r="G1001" s="8"/>
    </row>
    <row r="1002" spans="2:7" ht="12" outlineLevel="3" x14ac:dyDescent="0.2">
      <c r="B1002" s="10"/>
      <c r="C1002" s="36" t="s">
        <v>1919</v>
      </c>
      <c r="D1002" s="10"/>
      <c r="E1002" s="11"/>
      <c r="F1002" s="11"/>
      <c r="G1002" s="10"/>
    </row>
    <row r="1003" spans="2:7" ht="11.25" outlineLevel="4" x14ac:dyDescent="0.2">
      <c r="B1003" s="14" t="s">
        <v>1920</v>
      </c>
      <c r="C1003" s="14" t="s">
        <v>1921</v>
      </c>
      <c r="D1003" s="14">
        <v>20</v>
      </c>
      <c r="E1003" s="15">
        <v>24.47</v>
      </c>
      <c r="F1003" s="16" t="s">
        <v>8</v>
      </c>
      <c r="G1003" s="38" t="str">
        <f>HYPERLINK("http://enext.ua/s009009")</f>
        <v>http://enext.ua/s009009</v>
      </c>
    </row>
    <row r="1004" spans="2:7" ht="11.25" outlineLevel="4" x14ac:dyDescent="0.2">
      <c r="B1004" s="14" t="s">
        <v>1922</v>
      </c>
      <c r="C1004" s="14" t="s">
        <v>1923</v>
      </c>
      <c r="D1004" s="14">
        <v>20</v>
      </c>
      <c r="E1004" s="15">
        <v>24.47</v>
      </c>
      <c r="F1004" s="16" t="s">
        <v>8</v>
      </c>
      <c r="G1004" s="38" t="str">
        <f>HYPERLINK("http://enext.ua/s009010")</f>
        <v>http://enext.ua/s009010</v>
      </c>
    </row>
    <row r="1005" spans="2:7" ht="11.25" outlineLevel="4" x14ac:dyDescent="0.2">
      <c r="B1005" s="14" t="s">
        <v>1924</v>
      </c>
      <c r="C1005" s="14" t="s">
        <v>1925</v>
      </c>
      <c r="D1005" s="14">
        <v>20</v>
      </c>
      <c r="E1005" s="15">
        <v>24.47</v>
      </c>
      <c r="F1005" s="16" t="s">
        <v>8</v>
      </c>
      <c r="G1005" s="38" t="str">
        <f>HYPERLINK("http://enext.ua/s009011")</f>
        <v>http://enext.ua/s009011</v>
      </c>
    </row>
    <row r="1006" spans="2:7" ht="11.25" outlineLevel="4" x14ac:dyDescent="0.2">
      <c r="B1006" s="14" t="s">
        <v>1926</v>
      </c>
      <c r="C1006" s="14" t="s">
        <v>1927</v>
      </c>
      <c r="D1006" s="14">
        <v>20</v>
      </c>
      <c r="E1006" s="15">
        <v>24.47</v>
      </c>
      <c r="F1006" s="16" t="s">
        <v>8</v>
      </c>
      <c r="G1006" s="38" t="str">
        <f>HYPERLINK("http://enext.ua/s009012")</f>
        <v>http://enext.ua/s009012</v>
      </c>
    </row>
    <row r="1007" spans="2:7" ht="11.25" outlineLevel="4" x14ac:dyDescent="0.2">
      <c r="B1007" s="14" t="s">
        <v>1928</v>
      </c>
      <c r="C1007" s="14" t="s">
        <v>1929</v>
      </c>
      <c r="D1007" s="14">
        <v>20</v>
      </c>
      <c r="E1007" s="15">
        <v>26.07</v>
      </c>
      <c r="F1007" s="16" t="s">
        <v>8</v>
      </c>
      <c r="G1007" s="38" t="str">
        <f>HYPERLINK("http://enext.ua/s009013")</f>
        <v>http://enext.ua/s009013</v>
      </c>
    </row>
    <row r="1008" spans="2:7" ht="11.25" outlineLevel="4" x14ac:dyDescent="0.2">
      <c r="B1008" s="14" t="s">
        <v>1930</v>
      </c>
      <c r="C1008" s="14" t="s">
        <v>1931</v>
      </c>
      <c r="D1008" s="14">
        <v>20</v>
      </c>
      <c r="E1008" s="15">
        <v>26.07</v>
      </c>
      <c r="F1008" s="16" t="s">
        <v>8</v>
      </c>
      <c r="G1008" s="38" t="str">
        <f>HYPERLINK("http://enext.ua/s009014")</f>
        <v>http://enext.ua/s009014</v>
      </c>
    </row>
    <row r="1009" spans="2:7" ht="11.25" outlineLevel="4" x14ac:dyDescent="0.2">
      <c r="B1009" s="14" t="s">
        <v>1932</v>
      </c>
      <c r="C1009" s="14" t="s">
        <v>1933</v>
      </c>
      <c r="D1009" s="14">
        <v>20</v>
      </c>
      <c r="E1009" s="15">
        <v>26.07</v>
      </c>
      <c r="F1009" s="16" t="s">
        <v>8</v>
      </c>
      <c r="G1009" s="38" t="str">
        <f>HYPERLINK("http://enext.ua/s009016")</f>
        <v>http://enext.ua/s009016</v>
      </c>
    </row>
    <row r="1010" spans="2:7" ht="11.25" outlineLevel="4" x14ac:dyDescent="0.2">
      <c r="B1010" s="14" t="s">
        <v>1934</v>
      </c>
      <c r="C1010" s="14" t="s">
        <v>1935</v>
      </c>
      <c r="D1010" s="14">
        <v>20</v>
      </c>
      <c r="E1010" s="15">
        <v>30.98</v>
      </c>
      <c r="F1010" s="16" t="s">
        <v>8</v>
      </c>
      <c r="G1010" s="38" t="str">
        <f>HYPERLINK("http://enext.ua/s009017")</f>
        <v>http://enext.ua/s009017</v>
      </c>
    </row>
    <row r="1011" spans="2:7" ht="11.25" outlineLevel="4" x14ac:dyDescent="0.2">
      <c r="B1011" s="14" t="s">
        <v>1936</v>
      </c>
      <c r="C1011" s="14" t="s">
        <v>1937</v>
      </c>
      <c r="D1011" s="14">
        <v>20</v>
      </c>
      <c r="E1011" s="15">
        <v>26.07</v>
      </c>
      <c r="F1011" s="16" t="s">
        <v>8</v>
      </c>
      <c r="G1011" s="38" t="str">
        <f>HYPERLINK("http://enext.ua/s009015")</f>
        <v>http://enext.ua/s009015</v>
      </c>
    </row>
    <row r="1012" spans="2:7" ht="11.25" outlineLevel="4" x14ac:dyDescent="0.2">
      <c r="B1012" s="14" t="s">
        <v>1938</v>
      </c>
      <c r="C1012" s="14" t="s">
        <v>1939</v>
      </c>
      <c r="D1012" s="14">
        <v>10</v>
      </c>
      <c r="E1012" s="15">
        <v>24.47</v>
      </c>
      <c r="F1012" s="16" t="s">
        <v>8</v>
      </c>
      <c r="G1012" s="38" t="str">
        <f>HYPERLINK("http://enext.ua/s009018")</f>
        <v>http://enext.ua/s009018</v>
      </c>
    </row>
    <row r="1013" spans="2:7" ht="11.25" outlineLevel="4" x14ac:dyDescent="0.2">
      <c r="B1013" s="14" t="s">
        <v>1940</v>
      </c>
      <c r="C1013" s="14" t="s">
        <v>1941</v>
      </c>
      <c r="D1013" s="14">
        <v>10</v>
      </c>
      <c r="E1013" s="15">
        <v>24.47</v>
      </c>
      <c r="F1013" s="16" t="s">
        <v>8</v>
      </c>
      <c r="G1013" s="38" t="str">
        <f>HYPERLINK("http://enext.ua/s009019")</f>
        <v>http://enext.ua/s009019</v>
      </c>
    </row>
    <row r="1014" spans="2:7" ht="11.25" outlineLevel="4" x14ac:dyDescent="0.2">
      <c r="B1014" s="14" t="s">
        <v>1942</v>
      </c>
      <c r="C1014" s="14" t="s">
        <v>1943</v>
      </c>
      <c r="D1014" s="14">
        <v>10</v>
      </c>
      <c r="E1014" s="15">
        <v>24.47</v>
      </c>
      <c r="F1014" s="16" t="s">
        <v>8</v>
      </c>
      <c r="G1014" s="38" t="str">
        <f>HYPERLINK("http://enext.ua/s009028")</f>
        <v>http://enext.ua/s009028</v>
      </c>
    </row>
    <row r="1015" spans="2:7" ht="11.25" outlineLevel="4" x14ac:dyDescent="0.2">
      <c r="B1015" s="14" t="s">
        <v>1944</v>
      </c>
      <c r="C1015" s="14" t="s">
        <v>1945</v>
      </c>
      <c r="D1015" s="14">
        <v>10</v>
      </c>
      <c r="E1015" s="15">
        <v>29.12</v>
      </c>
      <c r="F1015" s="16" t="s">
        <v>8</v>
      </c>
      <c r="G1015" s="38" t="str">
        <f>HYPERLINK("http://enext.ua/s009030")</f>
        <v>http://enext.ua/s009030</v>
      </c>
    </row>
    <row r="1016" spans="2:7" ht="11.25" outlineLevel="4" x14ac:dyDescent="0.2">
      <c r="B1016" s="14" t="s">
        <v>1946</v>
      </c>
      <c r="C1016" s="14" t="s">
        <v>1947</v>
      </c>
      <c r="D1016" s="14">
        <v>10</v>
      </c>
      <c r="E1016" s="15">
        <v>24.47</v>
      </c>
      <c r="F1016" s="16" t="s">
        <v>8</v>
      </c>
      <c r="G1016" s="38" t="str">
        <f>HYPERLINK("http://enext.ua/s009029")</f>
        <v>http://enext.ua/s009029</v>
      </c>
    </row>
    <row r="1017" spans="2:7" ht="11.25" outlineLevel="4" x14ac:dyDescent="0.2">
      <c r="B1017" s="14" t="s">
        <v>1948</v>
      </c>
      <c r="C1017" s="14" t="s">
        <v>1949</v>
      </c>
      <c r="D1017" s="14">
        <v>10</v>
      </c>
      <c r="E1017" s="15">
        <v>24.47</v>
      </c>
      <c r="F1017" s="16" t="s">
        <v>8</v>
      </c>
      <c r="G1017" s="38" t="str">
        <f>HYPERLINK("http://enext.ua/s009020")</f>
        <v>http://enext.ua/s009020</v>
      </c>
    </row>
    <row r="1018" spans="2:7" ht="11.25" outlineLevel="4" x14ac:dyDescent="0.2">
      <c r="B1018" s="14" t="s">
        <v>1950</v>
      </c>
      <c r="C1018" s="14" t="s">
        <v>1951</v>
      </c>
      <c r="D1018" s="14">
        <v>10</v>
      </c>
      <c r="E1018" s="15">
        <v>24.47</v>
      </c>
      <c r="F1018" s="16" t="s">
        <v>8</v>
      </c>
      <c r="G1018" s="38" t="str">
        <f>HYPERLINK("http://enext.ua/s009021")</f>
        <v>http://enext.ua/s009021</v>
      </c>
    </row>
    <row r="1019" spans="2:7" ht="11.25" outlineLevel="4" x14ac:dyDescent="0.2">
      <c r="B1019" s="14" t="s">
        <v>1952</v>
      </c>
      <c r="C1019" s="14" t="s">
        <v>1953</v>
      </c>
      <c r="D1019" s="14">
        <v>10</v>
      </c>
      <c r="E1019" s="15">
        <v>24.47</v>
      </c>
      <c r="F1019" s="16" t="s">
        <v>8</v>
      </c>
      <c r="G1019" s="38" t="str">
        <f>HYPERLINK("http://enext.ua/s009031")</f>
        <v>http://enext.ua/s009031</v>
      </c>
    </row>
    <row r="1020" spans="2:7" ht="11.25" outlineLevel="4" x14ac:dyDescent="0.2">
      <c r="B1020" s="14" t="s">
        <v>1954</v>
      </c>
      <c r="C1020" s="14" t="s">
        <v>1955</v>
      </c>
      <c r="D1020" s="14">
        <v>10</v>
      </c>
      <c r="E1020" s="15">
        <v>29.12</v>
      </c>
      <c r="F1020" s="16" t="s">
        <v>8</v>
      </c>
      <c r="G1020" s="38" t="str">
        <f>HYPERLINK("http://enext.ua/s009033")</f>
        <v>http://enext.ua/s009033</v>
      </c>
    </row>
    <row r="1021" spans="2:7" ht="11.25" outlineLevel="4" x14ac:dyDescent="0.2">
      <c r="B1021" s="14" t="s">
        <v>1956</v>
      </c>
      <c r="C1021" s="14" t="s">
        <v>1957</v>
      </c>
      <c r="D1021" s="14">
        <v>10</v>
      </c>
      <c r="E1021" s="15">
        <v>24.47</v>
      </c>
      <c r="F1021" s="16" t="s">
        <v>8</v>
      </c>
      <c r="G1021" s="38" t="str">
        <f>HYPERLINK("http://enext.ua/s009032")</f>
        <v>http://enext.ua/s009032</v>
      </c>
    </row>
    <row r="1022" spans="2:7" ht="11.25" outlineLevel="4" x14ac:dyDescent="0.2">
      <c r="B1022" s="14" t="s">
        <v>1958</v>
      </c>
      <c r="C1022" s="14" t="s">
        <v>1959</v>
      </c>
      <c r="D1022" s="14">
        <v>10</v>
      </c>
      <c r="E1022" s="15">
        <v>26.07</v>
      </c>
      <c r="F1022" s="16" t="s">
        <v>8</v>
      </c>
      <c r="G1022" s="38" t="str">
        <f>HYPERLINK("http://enext.ua/s009022")</f>
        <v>http://enext.ua/s009022</v>
      </c>
    </row>
    <row r="1023" spans="2:7" ht="11.25" outlineLevel="4" x14ac:dyDescent="0.2">
      <c r="B1023" s="14" t="s">
        <v>1960</v>
      </c>
      <c r="C1023" s="14" t="s">
        <v>1961</v>
      </c>
      <c r="D1023" s="14">
        <v>10</v>
      </c>
      <c r="E1023" s="15">
        <v>26.07</v>
      </c>
      <c r="F1023" s="16" t="s">
        <v>8</v>
      </c>
      <c r="G1023" s="38" t="str">
        <f>HYPERLINK("http://enext.ua/s009023")</f>
        <v>http://enext.ua/s009023</v>
      </c>
    </row>
    <row r="1024" spans="2:7" ht="11.25" outlineLevel="4" x14ac:dyDescent="0.2">
      <c r="B1024" s="14" t="s">
        <v>1962</v>
      </c>
      <c r="C1024" s="14" t="s">
        <v>1963</v>
      </c>
      <c r="D1024" s="14">
        <v>10</v>
      </c>
      <c r="E1024" s="15">
        <v>26.07</v>
      </c>
      <c r="F1024" s="16" t="s">
        <v>8</v>
      </c>
      <c r="G1024" s="38" t="str">
        <f>HYPERLINK("http://enext.ua/s009025")</f>
        <v>http://enext.ua/s009025</v>
      </c>
    </row>
    <row r="1025" spans="2:7" ht="11.25" outlineLevel="4" x14ac:dyDescent="0.2">
      <c r="B1025" s="14" t="s">
        <v>1964</v>
      </c>
      <c r="C1025" s="14" t="s">
        <v>1965</v>
      </c>
      <c r="D1025" s="14">
        <v>10</v>
      </c>
      <c r="E1025" s="15">
        <v>26.07</v>
      </c>
      <c r="F1025" s="16" t="s">
        <v>8</v>
      </c>
      <c r="G1025" s="38" t="str">
        <f>HYPERLINK("http://enext.ua/s009026")</f>
        <v>http://enext.ua/s009026</v>
      </c>
    </row>
    <row r="1026" spans="2:7" ht="11.25" outlineLevel="4" x14ac:dyDescent="0.2">
      <c r="B1026" s="14" t="s">
        <v>1966</v>
      </c>
      <c r="C1026" s="14" t="s">
        <v>1967</v>
      </c>
      <c r="D1026" s="14">
        <v>10</v>
      </c>
      <c r="E1026" s="15">
        <v>26.07</v>
      </c>
      <c r="F1026" s="16" t="s">
        <v>8</v>
      </c>
      <c r="G1026" s="38" t="str">
        <f>HYPERLINK("http://enext.ua/s009024")</f>
        <v>http://enext.ua/s009024</v>
      </c>
    </row>
    <row r="1027" spans="2:7" ht="22.5" outlineLevel="4" x14ac:dyDescent="0.2">
      <c r="B1027" s="14" t="s">
        <v>1968</v>
      </c>
      <c r="C1027" s="14" t="s">
        <v>1969</v>
      </c>
      <c r="D1027" s="14">
        <v>1</v>
      </c>
      <c r="E1027" s="15">
        <v>141.07</v>
      </c>
      <c r="F1027" s="16" t="s">
        <v>8</v>
      </c>
      <c r="G1027" s="38" t="str">
        <f>HYPERLINK("http://enext.ua/s009035")</f>
        <v>http://enext.ua/s009035</v>
      </c>
    </row>
    <row r="1028" spans="2:7" ht="22.5" outlineLevel="4" x14ac:dyDescent="0.2">
      <c r="B1028" s="14" t="s">
        <v>1970</v>
      </c>
      <c r="C1028" s="14" t="s">
        <v>1971</v>
      </c>
      <c r="D1028" s="14">
        <v>1</v>
      </c>
      <c r="E1028" s="15">
        <v>141.07</v>
      </c>
      <c r="F1028" s="16" t="s">
        <v>8</v>
      </c>
      <c r="G1028" s="38" t="str">
        <f>HYPERLINK("http://enext.ua/s009034")</f>
        <v>http://enext.ua/s009034</v>
      </c>
    </row>
    <row r="1029" spans="2:7" ht="22.5" outlineLevel="4" x14ac:dyDescent="0.2">
      <c r="B1029" s="14" t="s">
        <v>1972</v>
      </c>
      <c r="C1029" s="14" t="s">
        <v>1973</v>
      </c>
      <c r="D1029" s="14">
        <v>10</v>
      </c>
      <c r="E1029" s="15">
        <v>48.83</v>
      </c>
      <c r="F1029" s="16" t="s">
        <v>8</v>
      </c>
      <c r="G1029" s="38" t="str">
        <f>HYPERLINK("http://enext.ua/s009027")</f>
        <v>http://enext.ua/s009027</v>
      </c>
    </row>
    <row r="1030" spans="2:7" ht="11.25" outlineLevel="4" x14ac:dyDescent="0.2">
      <c r="B1030" s="14" t="s">
        <v>1974</v>
      </c>
      <c r="C1030" s="14" t="s">
        <v>1975</v>
      </c>
      <c r="D1030" s="14">
        <v>20</v>
      </c>
      <c r="E1030" s="15">
        <v>79.41</v>
      </c>
      <c r="F1030" s="16" t="s">
        <v>8</v>
      </c>
      <c r="G1030" s="38" t="str">
        <f>HYPERLINK("http://enext.ua/s009002")</f>
        <v>http://enext.ua/s009002</v>
      </c>
    </row>
    <row r="1031" spans="2:7" ht="11.25" outlineLevel="4" x14ac:dyDescent="0.2">
      <c r="B1031" s="14" t="s">
        <v>1976</v>
      </c>
      <c r="C1031" s="14" t="s">
        <v>1977</v>
      </c>
      <c r="D1031" s="14">
        <v>10</v>
      </c>
      <c r="E1031" s="15">
        <v>27.72</v>
      </c>
      <c r="F1031" s="16" t="s">
        <v>8</v>
      </c>
      <c r="G1031" s="38" t="str">
        <f>HYPERLINK("http://enext.ua/s009007")</f>
        <v>http://enext.ua/s009007</v>
      </c>
    </row>
    <row r="1032" spans="2:7" ht="11.25" outlineLevel="4" x14ac:dyDescent="0.2">
      <c r="B1032" s="14" t="s">
        <v>1978</v>
      </c>
      <c r="C1032" s="14" t="s">
        <v>1979</v>
      </c>
      <c r="D1032" s="14">
        <v>1</v>
      </c>
      <c r="E1032" s="15">
        <v>27.72</v>
      </c>
      <c r="F1032" s="16" t="s">
        <v>8</v>
      </c>
      <c r="G1032" s="38" t="str">
        <f>HYPERLINK("http://enext.ua/s009008")</f>
        <v>http://enext.ua/s009008</v>
      </c>
    </row>
    <row r="1033" spans="2:7" ht="12" outlineLevel="3" x14ac:dyDescent="0.2">
      <c r="B1033" s="10"/>
      <c r="C1033" s="36" t="s">
        <v>1980</v>
      </c>
      <c r="D1033" s="10"/>
      <c r="E1033" s="11"/>
      <c r="F1033" s="11"/>
      <c r="G1033" s="10"/>
    </row>
    <row r="1034" spans="2:7" ht="12" outlineLevel="4" x14ac:dyDescent="0.2">
      <c r="B1034" s="12"/>
      <c r="C1034" s="37" t="s">
        <v>1981</v>
      </c>
      <c r="D1034" s="12"/>
      <c r="E1034" s="13"/>
      <c r="F1034" s="13"/>
      <c r="G1034" s="12"/>
    </row>
    <row r="1035" spans="2:7" ht="11.25" outlineLevel="5" x14ac:dyDescent="0.2">
      <c r="B1035" s="14" t="s">
        <v>1982</v>
      </c>
      <c r="C1035" s="14" t="s">
        <v>1983</v>
      </c>
      <c r="D1035" s="14">
        <v>1</v>
      </c>
      <c r="E1035" s="15">
        <v>8.58</v>
      </c>
      <c r="F1035" s="16" t="s">
        <v>8</v>
      </c>
      <c r="G1035" s="38" t="str">
        <f>HYPERLINK("http://enext.ua/p0810145")</f>
        <v>http://enext.ua/p0810145</v>
      </c>
    </row>
    <row r="1036" spans="2:7" ht="11.25" outlineLevel="5" x14ac:dyDescent="0.2">
      <c r="B1036" s="14" t="s">
        <v>1984</v>
      </c>
      <c r="C1036" s="14" t="s">
        <v>1985</v>
      </c>
      <c r="D1036" s="14">
        <v>1</v>
      </c>
      <c r="E1036" s="15">
        <v>5.24</v>
      </c>
      <c r="F1036" s="16" t="s">
        <v>8</v>
      </c>
      <c r="G1036" s="38" t="str">
        <f>HYPERLINK("http://enext.ua/p0810144")</f>
        <v>http://enext.ua/p0810144</v>
      </c>
    </row>
    <row r="1037" spans="2:7" ht="11.25" outlineLevel="5" x14ac:dyDescent="0.2">
      <c r="B1037" s="14" t="s">
        <v>1986</v>
      </c>
      <c r="C1037" s="14" t="s">
        <v>1987</v>
      </c>
      <c r="D1037" s="14">
        <v>1</v>
      </c>
      <c r="E1037" s="15">
        <v>42.5</v>
      </c>
      <c r="F1037" s="16" t="s">
        <v>8</v>
      </c>
      <c r="G1037" s="38" t="str">
        <f>HYPERLINK("http://enext.ua/p0810107")</f>
        <v>http://enext.ua/p0810107</v>
      </c>
    </row>
    <row r="1038" spans="2:7" ht="11.25" outlineLevel="5" x14ac:dyDescent="0.2">
      <c r="B1038" s="14" t="s">
        <v>1988</v>
      </c>
      <c r="C1038" s="14" t="s">
        <v>1989</v>
      </c>
      <c r="D1038" s="14">
        <v>1</v>
      </c>
      <c r="E1038" s="15">
        <v>42.5</v>
      </c>
      <c r="F1038" s="16" t="s">
        <v>8</v>
      </c>
      <c r="G1038" s="38" t="str">
        <f>HYPERLINK("http://enext.ua/p0810110")</f>
        <v>http://enext.ua/p0810110</v>
      </c>
    </row>
    <row r="1039" spans="2:7" ht="11.25" outlineLevel="5" x14ac:dyDescent="0.2">
      <c r="B1039" s="14" t="s">
        <v>1990</v>
      </c>
      <c r="C1039" s="14" t="s">
        <v>1991</v>
      </c>
      <c r="D1039" s="14">
        <v>1</v>
      </c>
      <c r="E1039" s="15">
        <v>42.5</v>
      </c>
      <c r="F1039" s="16" t="s">
        <v>8</v>
      </c>
      <c r="G1039" s="38" t="str">
        <f>HYPERLINK("http://enext.ua/p0810106")</f>
        <v>http://enext.ua/p0810106</v>
      </c>
    </row>
    <row r="1040" spans="2:7" ht="11.25" outlineLevel="5" x14ac:dyDescent="0.2">
      <c r="B1040" s="14" t="s">
        <v>1992</v>
      </c>
      <c r="C1040" s="14" t="s">
        <v>1993</v>
      </c>
      <c r="D1040" s="14">
        <v>1</v>
      </c>
      <c r="E1040" s="15">
        <v>42.5</v>
      </c>
      <c r="F1040" s="16" t="s">
        <v>8</v>
      </c>
      <c r="G1040" s="38" t="str">
        <f>HYPERLINK("http://enext.ua/p0810108")</f>
        <v>http://enext.ua/p0810108</v>
      </c>
    </row>
    <row r="1041" spans="2:7" ht="11.25" outlineLevel="5" x14ac:dyDescent="0.2">
      <c r="B1041" s="14" t="s">
        <v>1994</v>
      </c>
      <c r="C1041" s="14" t="s">
        <v>1995</v>
      </c>
      <c r="D1041" s="14">
        <v>1</v>
      </c>
      <c r="E1041" s="15">
        <v>42.5</v>
      </c>
      <c r="F1041" s="16" t="s">
        <v>8</v>
      </c>
      <c r="G1041" s="38" t="str">
        <f>HYPERLINK("http://enext.ua/p0810109")</f>
        <v>http://enext.ua/p0810109</v>
      </c>
    </row>
    <row r="1042" spans="2:7" ht="11.25" outlineLevel="5" x14ac:dyDescent="0.2">
      <c r="B1042" s="14" t="s">
        <v>1996</v>
      </c>
      <c r="C1042" s="14" t="s">
        <v>1997</v>
      </c>
      <c r="D1042" s="14">
        <v>1</v>
      </c>
      <c r="E1042" s="15">
        <v>54.49</v>
      </c>
      <c r="F1042" s="16" t="s">
        <v>8</v>
      </c>
      <c r="G1042" s="38" t="str">
        <f>HYPERLINK("http://enext.ua/p0810116")</f>
        <v>http://enext.ua/p0810116</v>
      </c>
    </row>
    <row r="1043" spans="2:7" ht="11.25" outlineLevel="5" x14ac:dyDescent="0.2">
      <c r="B1043" s="14" t="s">
        <v>1998</v>
      </c>
      <c r="C1043" s="14" t="s">
        <v>1999</v>
      </c>
      <c r="D1043" s="14">
        <v>1</v>
      </c>
      <c r="E1043" s="15">
        <v>54.49</v>
      </c>
      <c r="F1043" s="16" t="s">
        <v>8</v>
      </c>
      <c r="G1043" s="38" t="str">
        <f>HYPERLINK("http://enext.ua/p0810119")</f>
        <v>http://enext.ua/p0810119</v>
      </c>
    </row>
    <row r="1044" spans="2:7" ht="11.25" outlineLevel="5" x14ac:dyDescent="0.2">
      <c r="B1044" s="14" t="s">
        <v>2000</v>
      </c>
      <c r="C1044" s="14" t="s">
        <v>2001</v>
      </c>
      <c r="D1044" s="14">
        <v>1</v>
      </c>
      <c r="E1044" s="15">
        <v>54.49</v>
      </c>
      <c r="F1044" s="16" t="s">
        <v>8</v>
      </c>
      <c r="G1044" s="38" t="str">
        <f>HYPERLINK("http://enext.ua/p0810117")</f>
        <v>http://enext.ua/p0810117</v>
      </c>
    </row>
    <row r="1045" spans="2:7" ht="11.25" outlineLevel="5" x14ac:dyDescent="0.2">
      <c r="B1045" s="14" t="s">
        <v>2002</v>
      </c>
      <c r="C1045" s="14" t="s">
        <v>2003</v>
      </c>
      <c r="D1045" s="14">
        <v>1</v>
      </c>
      <c r="E1045" s="15">
        <v>54.49</v>
      </c>
      <c r="F1045" s="16" t="s">
        <v>8</v>
      </c>
      <c r="G1045" s="38" t="str">
        <f>HYPERLINK("http://enext.ua/p0810118")</f>
        <v>http://enext.ua/p0810118</v>
      </c>
    </row>
    <row r="1046" spans="2:7" ht="11.25" outlineLevel="5" x14ac:dyDescent="0.2">
      <c r="B1046" s="14" t="s">
        <v>2004</v>
      </c>
      <c r="C1046" s="14" t="s">
        <v>2005</v>
      </c>
      <c r="D1046" s="14">
        <v>1</v>
      </c>
      <c r="E1046" s="15">
        <v>43.79</v>
      </c>
      <c r="F1046" s="16" t="s">
        <v>8</v>
      </c>
      <c r="G1046" s="38" t="str">
        <f>HYPERLINK("http://enext.ua/p0810112")</f>
        <v>http://enext.ua/p0810112</v>
      </c>
    </row>
    <row r="1047" spans="2:7" ht="11.25" outlineLevel="5" x14ac:dyDescent="0.2">
      <c r="B1047" s="14" t="s">
        <v>2006</v>
      </c>
      <c r="C1047" s="14" t="s">
        <v>2007</v>
      </c>
      <c r="D1047" s="14">
        <v>1</v>
      </c>
      <c r="E1047" s="15">
        <v>43.79</v>
      </c>
      <c r="F1047" s="16" t="s">
        <v>8</v>
      </c>
      <c r="G1047" s="38" t="str">
        <f>HYPERLINK("http://enext.ua/p0810115")</f>
        <v>http://enext.ua/p0810115</v>
      </c>
    </row>
    <row r="1048" spans="2:7" ht="11.25" outlineLevel="5" x14ac:dyDescent="0.2">
      <c r="B1048" s="14" t="s">
        <v>2008</v>
      </c>
      <c r="C1048" s="14" t="s">
        <v>2009</v>
      </c>
      <c r="D1048" s="14">
        <v>1</v>
      </c>
      <c r="E1048" s="15">
        <v>43.79</v>
      </c>
      <c r="F1048" s="16" t="s">
        <v>8</v>
      </c>
      <c r="G1048" s="38" t="str">
        <f>HYPERLINK("http://enext.ua/p0810111")</f>
        <v>http://enext.ua/p0810111</v>
      </c>
    </row>
    <row r="1049" spans="2:7" ht="11.25" outlineLevel="5" x14ac:dyDescent="0.2">
      <c r="B1049" s="14" t="s">
        <v>2010</v>
      </c>
      <c r="C1049" s="14" t="s">
        <v>2011</v>
      </c>
      <c r="D1049" s="14">
        <v>1</v>
      </c>
      <c r="E1049" s="15">
        <v>43.79</v>
      </c>
      <c r="F1049" s="16" t="s">
        <v>8</v>
      </c>
      <c r="G1049" s="38" t="str">
        <f>HYPERLINK("http://enext.ua/p0810113")</f>
        <v>http://enext.ua/p0810113</v>
      </c>
    </row>
    <row r="1050" spans="2:7" ht="11.25" outlineLevel="5" x14ac:dyDescent="0.2">
      <c r="B1050" s="14" t="s">
        <v>2012</v>
      </c>
      <c r="C1050" s="14" t="s">
        <v>2013</v>
      </c>
      <c r="D1050" s="14">
        <v>1</v>
      </c>
      <c r="E1050" s="15">
        <v>43.79</v>
      </c>
      <c r="F1050" s="16" t="s">
        <v>8</v>
      </c>
      <c r="G1050" s="38" t="str">
        <f>HYPERLINK("http://enext.ua/p0810114")</f>
        <v>http://enext.ua/p0810114</v>
      </c>
    </row>
    <row r="1051" spans="2:7" ht="11.25" outlineLevel="5" x14ac:dyDescent="0.2">
      <c r="B1051" s="14" t="s">
        <v>2014</v>
      </c>
      <c r="C1051" s="14" t="s">
        <v>2015</v>
      </c>
      <c r="D1051" s="14">
        <v>1</v>
      </c>
      <c r="E1051" s="15">
        <v>87.18</v>
      </c>
      <c r="F1051" s="16" t="s">
        <v>8</v>
      </c>
      <c r="G1051" s="38" t="str">
        <f>HYPERLINK("http://enext.ua/p0810124")</f>
        <v>http://enext.ua/p0810124</v>
      </c>
    </row>
    <row r="1052" spans="2:7" ht="11.25" outlineLevel="5" x14ac:dyDescent="0.2">
      <c r="B1052" s="14" t="s">
        <v>2016</v>
      </c>
      <c r="C1052" s="14" t="s">
        <v>2017</v>
      </c>
      <c r="D1052" s="14">
        <v>1</v>
      </c>
      <c r="E1052" s="15">
        <v>60.03</v>
      </c>
      <c r="F1052" s="16" t="s">
        <v>8</v>
      </c>
      <c r="G1052" s="38" t="str">
        <f>HYPERLINK("http://enext.ua/p0810123")</f>
        <v>http://enext.ua/p0810123</v>
      </c>
    </row>
    <row r="1053" spans="2:7" ht="11.25" outlineLevel="5" x14ac:dyDescent="0.2">
      <c r="B1053" s="14" t="s">
        <v>2018</v>
      </c>
      <c r="C1053" s="14" t="s">
        <v>2019</v>
      </c>
      <c r="D1053" s="14">
        <v>1</v>
      </c>
      <c r="E1053" s="15">
        <v>90.91</v>
      </c>
      <c r="F1053" s="16" t="s">
        <v>8</v>
      </c>
      <c r="G1053" s="38" t="str">
        <f>HYPERLINK("http://enext.ua/p0810122")</f>
        <v>http://enext.ua/p0810122</v>
      </c>
    </row>
    <row r="1054" spans="2:7" ht="11.25" outlineLevel="5" x14ac:dyDescent="0.2">
      <c r="B1054" s="14" t="s">
        <v>2020</v>
      </c>
      <c r="C1054" s="14" t="s">
        <v>2021</v>
      </c>
      <c r="D1054" s="14">
        <v>1</v>
      </c>
      <c r="E1054" s="15">
        <v>95.86</v>
      </c>
      <c r="F1054" s="16" t="s">
        <v>8</v>
      </c>
      <c r="G1054" s="38" t="str">
        <f>HYPERLINK("http://enext.ua/p0810102")</f>
        <v>http://enext.ua/p0810102</v>
      </c>
    </row>
    <row r="1055" spans="2:7" ht="11.25" outlineLevel="5" x14ac:dyDescent="0.2">
      <c r="B1055" s="14" t="s">
        <v>2022</v>
      </c>
      <c r="C1055" s="14" t="s">
        <v>2023</v>
      </c>
      <c r="D1055" s="14">
        <v>1</v>
      </c>
      <c r="E1055" s="15">
        <v>95.86</v>
      </c>
      <c r="F1055" s="16" t="s">
        <v>8</v>
      </c>
      <c r="G1055" s="38" t="str">
        <f>HYPERLINK("http://enext.ua/p0810103")</f>
        <v>http://enext.ua/p0810103</v>
      </c>
    </row>
    <row r="1056" spans="2:7" ht="11.25" outlineLevel="5" x14ac:dyDescent="0.2">
      <c r="B1056" s="14" t="s">
        <v>2024</v>
      </c>
      <c r="C1056" s="14" t="s">
        <v>2025</v>
      </c>
      <c r="D1056" s="14">
        <v>1</v>
      </c>
      <c r="E1056" s="15">
        <v>95.86</v>
      </c>
      <c r="F1056" s="16" t="s">
        <v>8</v>
      </c>
      <c r="G1056" s="38" t="str">
        <f>HYPERLINK("http://enext.ua/p0810101")</f>
        <v>http://enext.ua/p0810101</v>
      </c>
    </row>
    <row r="1057" spans="2:7" ht="11.25" outlineLevel="5" x14ac:dyDescent="0.2">
      <c r="B1057" s="14" t="s">
        <v>2026</v>
      </c>
      <c r="C1057" s="14" t="s">
        <v>2027</v>
      </c>
      <c r="D1057" s="14">
        <v>1</v>
      </c>
      <c r="E1057" s="15">
        <v>95.86</v>
      </c>
      <c r="F1057" s="16" t="s">
        <v>8</v>
      </c>
      <c r="G1057" s="38" t="str">
        <f>HYPERLINK("http://enext.ua/p0810104")</f>
        <v>http://enext.ua/p0810104</v>
      </c>
    </row>
    <row r="1058" spans="2:7" ht="11.25" outlineLevel="5" x14ac:dyDescent="0.2">
      <c r="B1058" s="14" t="s">
        <v>2028</v>
      </c>
      <c r="C1058" s="14" t="s">
        <v>2029</v>
      </c>
      <c r="D1058" s="14">
        <v>1</v>
      </c>
      <c r="E1058" s="15">
        <v>95.86</v>
      </c>
      <c r="F1058" s="16" t="s">
        <v>8</v>
      </c>
      <c r="G1058" s="38" t="str">
        <f>HYPERLINK("http://enext.ua/p0810105")</f>
        <v>http://enext.ua/p0810105</v>
      </c>
    </row>
    <row r="1059" spans="2:7" ht="11.25" outlineLevel="5" x14ac:dyDescent="0.2">
      <c r="B1059" s="14" t="s">
        <v>2030</v>
      </c>
      <c r="C1059" s="14" t="s">
        <v>2031</v>
      </c>
      <c r="D1059" s="14">
        <v>1</v>
      </c>
      <c r="E1059" s="15">
        <v>100.91</v>
      </c>
      <c r="F1059" s="16" t="s">
        <v>8</v>
      </c>
      <c r="G1059" s="38" t="str">
        <f>HYPERLINK("http://enext.ua/p0810120")</f>
        <v>http://enext.ua/p0810120</v>
      </c>
    </row>
    <row r="1060" spans="2:7" ht="11.25" outlineLevel="5" x14ac:dyDescent="0.2">
      <c r="B1060" s="14" t="s">
        <v>2032</v>
      </c>
      <c r="C1060" s="14" t="s">
        <v>2033</v>
      </c>
      <c r="D1060" s="14">
        <v>1</v>
      </c>
      <c r="E1060" s="15">
        <v>104.89</v>
      </c>
      <c r="F1060" s="16" t="s">
        <v>8</v>
      </c>
      <c r="G1060" s="38" t="str">
        <f>HYPERLINK("http://enext.ua/p0810121")</f>
        <v>http://enext.ua/p0810121</v>
      </c>
    </row>
    <row r="1061" spans="2:7" ht="11.25" outlineLevel="5" x14ac:dyDescent="0.2">
      <c r="B1061" s="14" t="s">
        <v>2034</v>
      </c>
      <c r="C1061" s="14" t="s">
        <v>2035</v>
      </c>
      <c r="D1061" s="14">
        <v>1</v>
      </c>
      <c r="E1061" s="15">
        <v>22.29</v>
      </c>
      <c r="F1061" s="16" t="s">
        <v>8</v>
      </c>
      <c r="G1061" s="38" t="str">
        <f>HYPERLINK("http://enext.ua/p0810131")</f>
        <v>http://enext.ua/p0810131</v>
      </c>
    </row>
    <row r="1062" spans="2:7" ht="11.25" outlineLevel="5" x14ac:dyDescent="0.2">
      <c r="B1062" s="14" t="s">
        <v>2036</v>
      </c>
      <c r="C1062" s="14" t="s">
        <v>2037</v>
      </c>
      <c r="D1062" s="14">
        <v>1</v>
      </c>
      <c r="E1062" s="15">
        <v>22.29</v>
      </c>
      <c r="F1062" s="16" t="s">
        <v>8</v>
      </c>
      <c r="G1062" s="38" t="str">
        <f>HYPERLINK("http://enext.ua/p0810132")</f>
        <v>http://enext.ua/p0810132</v>
      </c>
    </row>
    <row r="1063" spans="2:7" ht="11.25" outlineLevel="5" x14ac:dyDescent="0.2">
      <c r="B1063" s="14" t="s">
        <v>2038</v>
      </c>
      <c r="C1063" s="14" t="s">
        <v>2039</v>
      </c>
      <c r="D1063" s="14">
        <v>1</v>
      </c>
      <c r="E1063" s="15">
        <v>22.29</v>
      </c>
      <c r="F1063" s="16" t="s">
        <v>8</v>
      </c>
      <c r="G1063" s="38" t="str">
        <f>HYPERLINK("http://enext.ua/p0810130")</f>
        <v>http://enext.ua/p0810130</v>
      </c>
    </row>
    <row r="1064" spans="2:7" ht="11.25" outlineLevel="5" x14ac:dyDescent="0.2">
      <c r="B1064" s="14" t="s">
        <v>2040</v>
      </c>
      <c r="C1064" s="14" t="s">
        <v>2041</v>
      </c>
      <c r="D1064" s="14">
        <v>1</v>
      </c>
      <c r="E1064" s="15">
        <v>21.26</v>
      </c>
      <c r="F1064" s="16" t="s">
        <v>8</v>
      </c>
      <c r="G1064" s="38" t="str">
        <f>HYPERLINK("http://enext.ua/p0810126")</f>
        <v>http://enext.ua/p0810126</v>
      </c>
    </row>
    <row r="1065" spans="2:7" ht="11.25" outlineLevel="5" x14ac:dyDescent="0.2">
      <c r="B1065" s="14" t="s">
        <v>2042</v>
      </c>
      <c r="C1065" s="14" t="s">
        <v>2043</v>
      </c>
      <c r="D1065" s="14">
        <v>1</v>
      </c>
      <c r="E1065" s="15">
        <v>21.26</v>
      </c>
      <c r="F1065" s="16" t="s">
        <v>8</v>
      </c>
      <c r="G1065" s="38" t="str">
        <f>HYPERLINK("http://enext.ua/p0810127")</f>
        <v>http://enext.ua/p0810127</v>
      </c>
    </row>
    <row r="1066" spans="2:7" ht="11.25" outlineLevel="5" x14ac:dyDescent="0.2">
      <c r="B1066" s="14" t="s">
        <v>2044</v>
      </c>
      <c r="C1066" s="14" t="s">
        <v>2045</v>
      </c>
      <c r="D1066" s="14">
        <v>1</v>
      </c>
      <c r="E1066" s="15">
        <v>21.26</v>
      </c>
      <c r="F1066" s="16" t="s">
        <v>8</v>
      </c>
      <c r="G1066" s="38" t="str">
        <f>HYPERLINK("http://enext.ua/p0810125")</f>
        <v>http://enext.ua/p0810125</v>
      </c>
    </row>
    <row r="1067" spans="2:7" ht="11.25" outlineLevel="5" x14ac:dyDescent="0.2">
      <c r="B1067" s="14" t="s">
        <v>2046</v>
      </c>
      <c r="C1067" s="14" t="s">
        <v>2047</v>
      </c>
      <c r="D1067" s="14">
        <v>1</v>
      </c>
      <c r="E1067" s="15">
        <v>25.73</v>
      </c>
      <c r="F1067" s="16" t="s">
        <v>8</v>
      </c>
      <c r="G1067" s="38" t="str">
        <f>HYPERLINK("http://enext.ua/p0810128")</f>
        <v>http://enext.ua/p0810128</v>
      </c>
    </row>
    <row r="1068" spans="2:7" ht="11.25" outlineLevel="5" x14ac:dyDescent="0.2">
      <c r="B1068" s="14" t="s">
        <v>2048</v>
      </c>
      <c r="C1068" s="14" t="s">
        <v>2049</v>
      </c>
      <c r="D1068" s="14">
        <v>1</v>
      </c>
      <c r="E1068" s="15">
        <v>25.73</v>
      </c>
      <c r="F1068" s="16" t="s">
        <v>8</v>
      </c>
      <c r="G1068" s="38" t="str">
        <f>HYPERLINK("http://enext.ua/p0810129")</f>
        <v>http://enext.ua/p0810129</v>
      </c>
    </row>
    <row r="1069" spans="2:7" ht="12" outlineLevel="4" x14ac:dyDescent="0.2">
      <c r="B1069" s="12"/>
      <c r="C1069" s="37" t="s">
        <v>2050</v>
      </c>
      <c r="D1069" s="12"/>
      <c r="E1069" s="13"/>
      <c r="F1069" s="13"/>
      <c r="G1069" s="12"/>
    </row>
    <row r="1070" spans="2:7" ht="11.25" outlineLevel="5" x14ac:dyDescent="0.2">
      <c r="B1070" s="14" t="s">
        <v>2051</v>
      </c>
      <c r="C1070" s="14" t="s">
        <v>2052</v>
      </c>
      <c r="D1070" s="14">
        <v>1</v>
      </c>
      <c r="E1070" s="15">
        <v>5.2</v>
      </c>
      <c r="F1070" s="16" t="s">
        <v>8</v>
      </c>
      <c r="G1070" s="38" t="str">
        <f>HYPERLINK("http://enext.ua/p0810016")</f>
        <v>http://enext.ua/p0810016</v>
      </c>
    </row>
    <row r="1071" spans="2:7" ht="11.25" outlineLevel="5" x14ac:dyDescent="0.2">
      <c r="B1071" s="14" t="s">
        <v>2053</v>
      </c>
      <c r="C1071" s="14" t="s">
        <v>2054</v>
      </c>
      <c r="D1071" s="14">
        <v>8</v>
      </c>
      <c r="E1071" s="15">
        <v>64.69</v>
      </c>
      <c r="F1071" s="16" t="s">
        <v>8</v>
      </c>
      <c r="G1071" s="38" t="str">
        <f>HYPERLINK("http://enext.ua/s011010")</f>
        <v>http://enext.ua/s011010</v>
      </c>
    </row>
    <row r="1072" spans="2:7" ht="11.25" outlineLevel="5" x14ac:dyDescent="0.2">
      <c r="B1072" s="14" t="s">
        <v>2055</v>
      </c>
      <c r="C1072" s="14" t="s">
        <v>2056</v>
      </c>
      <c r="D1072" s="14">
        <v>10</v>
      </c>
      <c r="E1072" s="15">
        <v>87.31</v>
      </c>
      <c r="F1072" s="16" t="s">
        <v>8</v>
      </c>
      <c r="G1072" s="38" t="str">
        <f>HYPERLINK("http://enext.ua/s011006")</f>
        <v>http://enext.ua/s011006</v>
      </c>
    </row>
    <row r="1073" spans="2:7" ht="11.25" outlineLevel="5" x14ac:dyDescent="0.2">
      <c r="B1073" s="14" t="s">
        <v>2057</v>
      </c>
      <c r="C1073" s="14" t="s">
        <v>2058</v>
      </c>
      <c r="D1073" s="14">
        <v>1</v>
      </c>
      <c r="E1073" s="15">
        <v>114.35</v>
      </c>
      <c r="F1073" s="16" t="s">
        <v>8</v>
      </c>
      <c r="G1073" s="38" t="str">
        <f>HYPERLINK("http://enext.ua/s010005")</f>
        <v>http://enext.ua/s010005</v>
      </c>
    </row>
    <row r="1074" spans="2:7" ht="11.25" outlineLevel="5" x14ac:dyDescent="0.2">
      <c r="B1074" s="14" t="s">
        <v>2059</v>
      </c>
      <c r="C1074" s="14" t="s">
        <v>2060</v>
      </c>
      <c r="D1074" s="14">
        <v>10</v>
      </c>
      <c r="E1074" s="15">
        <v>93.56</v>
      </c>
      <c r="F1074" s="16" t="s">
        <v>8</v>
      </c>
      <c r="G1074" s="38" t="str">
        <f>HYPERLINK("http://enext.ua/p0810011")</f>
        <v>http://enext.ua/p0810011</v>
      </c>
    </row>
    <row r="1075" spans="2:7" ht="12" outlineLevel="3" x14ac:dyDescent="0.2">
      <c r="B1075" s="10"/>
      <c r="C1075" s="36" t="s">
        <v>2061</v>
      </c>
      <c r="D1075" s="10"/>
      <c r="E1075" s="11"/>
      <c r="F1075" s="11"/>
      <c r="G1075" s="10"/>
    </row>
    <row r="1076" spans="2:7" ht="12" outlineLevel="4" x14ac:dyDescent="0.2">
      <c r="B1076" s="12"/>
      <c r="C1076" s="37" t="s">
        <v>2062</v>
      </c>
      <c r="D1076" s="12"/>
      <c r="E1076" s="13"/>
      <c r="F1076" s="13"/>
      <c r="G1076" s="12"/>
    </row>
    <row r="1077" spans="2:7" ht="22.5" outlineLevel="5" x14ac:dyDescent="0.2">
      <c r="B1077" s="14" t="s">
        <v>2063</v>
      </c>
      <c r="C1077" s="14" t="s">
        <v>2064</v>
      </c>
      <c r="D1077" s="14">
        <v>1</v>
      </c>
      <c r="E1077" s="15">
        <v>65.38</v>
      </c>
      <c r="F1077" s="16" t="s">
        <v>8</v>
      </c>
      <c r="G1077" s="38" t="str">
        <f>HYPERLINK("http://enext.ua/p0810133")</f>
        <v>http://enext.ua/p0810133</v>
      </c>
    </row>
    <row r="1078" spans="2:7" ht="11.25" outlineLevel="5" x14ac:dyDescent="0.2">
      <c r="B1078" s="14" t="s">
        <v>2065</v>
      </c>
      <c r="C1078" s="14" t="s">
        <v>2066</v>
      </c>
      <c r="D1078" s="14">
        <v>1</v>
      </c>
      <c r="E1078" s="15">
        <v>65.38</v>
      </c>
      <c r="F1078" s="16" t="s">
        <v>8</v>
      </c>
      <c r="G1078" s="38" t="str">
        <f>HYPERLINK("http://enext.ua/p0810134")</f>
        <v>http://enext.ua/p0810134</v>
      </c>
    </row>
    <row r="1079" spans="2:7" ht="22.5" outlineLevel="5" x14ac:dyDescent="0.2">
      <c r="B1079" s="14" t="s">
        <v>2067</v>
      </c>
      <c r="C1079" s="14" t="s">
        <v>2068</v>
      </c>
      <c r="D1079" s="14">
        <v>1</v>
      </c>
      <c r="E1079" s="15">
        <v>89.2</v>
      </c>
      <c r="F1079" s="16" t="s">
        <v>8</v>
      </c>
      <c r="G1079" s="38" t="str">
        <f>HYPERLINK("http://enext.ua/p0810137")</f>
        <v>http://enext.ua/p0810137</v>
      </c>
    </row>
    <row r="1080" spans="2:7" ht="22.5" outlineLevel="5" x14ac:dyDescent="0.2">
      <c r="B1080" s="14" t="s">
        <v>2069</v>
      </c>
      <c r="C1080" s="14" t="s">
        <v>2070</v>
      </c>
      <c r="D1080" s="14">
        <v>1</v>
      </c>
      <c r="E1080" s="15">
        <v>89.2</v>
      </c>
      <c r="F1080" s="16" t="s">
        <v>8</v>
      </c>
      <c r="G1080" s="38" t="str">
        <f>HYPERLINK("http://enext.ua/p0810138")</f>
        <v>http://enext.ua/p0810138</v>
      </c>
    </row>
    <row r="1081" spans="2:7" ht="11.25" outlineLevel="5" x14ac:dyDescent="0.2">
      <c r="B1081" s="14" t="s">
        <v>2071</v>
      </c>
      <c r="C1081" s="14" t="s">
        <v>2072</v>
      </c>
      <c r="D1081" s="14">
        <v>1</v>
      </c>
      <c r="E1081" s="15">
        <v>65.38</v>
      </c>
      <c r="F1081" s="16" t="s">
        <v>8</v>
      </c>
      <c r="G1081" s="38" t="str">
        <f>HYPERLINK("http://enext.ua/p0810135")</f>
        <v>http://enext.ua/p0810135</v>
      </c>
    </row>
    <row r="1082" spans="2:7" ht="11.25" outlineLevel="5" x14ac:dyDescent="0.2">
      <c r="B1082" s="14" t="s">
        <v>2073</v>
      </c>
      <c r="C1082" s="14" t="s">
        <v>2074</v>
      </c>
      <c r="D1082" s="14">
        <v>1</v>
      </c>
      <c r="E1082" s="15">
        <v>65.38</v>
      </c>
      <c r="F1082" s="16" t="s">
        <v>8</v>
      </c>
      <c r="G1082" s="38" t="str">
        <f>HYPERLINK("http://enext.ua/p0810136")</f>
        <v>http://enext.ua/p0810136</v>
      </c>
    </row>
    <row r="1083" spans="2:7" ht="11.25" outlineLevel="5" x14ac:dyDescent="0.2">
      <c r="B1083" s="14" t="s">
        <v>2075</v>
      </c>
      <c r="C1083" s="14" t="s">
        <v>2076</v>
      </c>
      <c r="D1083" s="14">
        <v>1</v>
      </c>
      <c r="E1083" s="15">
        <v>138.03</v>
      </c>
      <c r="F1083" s="16" t="s">
        <v>8</v>
      </c>
      <c r="G1083" s="38" t="str">
        <f>HYPERLINK("http://enext.ua/p0810139")</f>
        <v>http://enext.ua/p0810139</v>
      </c>
    </row>
    <row r="1084" spans="2:7" ht="11.25" outlineLevel="5" x14ac:dyDescent="0.2">
      <c r="B1084" s="14" t="s">
        <v>2077</v>
      </c>
      <c r="C1084" s="14" t="s">
        <v>2078</v>
      </c>
      <c r="D1084" s="14">
        <v>1</v>
      </c>
      <c r="E1084" s="15">
        <v>138.03</v>
      </c>
      <c r="F1084" s="16" t="s">
        <v>8</v>
      </c>
      <c r="G1084" s="38" t="str">
        <f>HYPERLINK("http://enext.ua/p0810140")</f>
        <v>http://enext.ua/p0810140</v>
      </c>
    </row>
    <row r="1085" spans="2:7" ht="11.25" outlineLevel="5" x14ac:dyDescent="0.2">
      <c r="B1085" s="14" t="s">
        <v>2079</v>
      </c>
      <c r="C1085" s="14" t="s">
        <v>2080</v>
      </c>
      <c r="D1085" s="14">
        <v>1</v>
      </c>
      <c r="E1085" s="15">
        <v>138.03</v>
      </c>
      <c r="F1085" s="16" t="s">
        <v>8</v>
      </c>
      <c r="G1085" s="38" t="str">
        <f>HYPERLINK("http://enext.ua/p0810141")</f>
        <v>http://enext.ua/p0810141</v>
      </c>
    </row>
    <row r="1086" spans="2:7" ht="12" outlineLevel="4" x14ac:dyDescent="0.2">
      <c r="B1086" s="12"/>
      <c r="C1086" s="37" t="s">
        <v>2081</v>
      </c>
      <c r="D1086" s="12"/>
      <c r="E1086" s="13"/>
      <c r="F1086" s="13"/>
      <c r="G1086" s="12"/>
    </row>
    <row r="1087" spans="2:7" ht="11.25" outlineLevel="5" x14ac:dyDescent="0.2">
      <c r="B1087" s="14" t="s">
        <v>2082</v>
      </c>
      <c r="C1087" s="14" t="s">
        <v>2083</v>
      </c>
      <c r="D1087" s="14">
        <v>10</v>
      </c>
      <c r="E1087" s="15">
        <v>77.98</v>
      </c>
      <c r="F1087" s="16" t="s">
        <v>8</v>
      </c>
      <c r="G1087" s="38" t="str">
        <f>HYPERLINK("http://enext.ua/p0810006")</f>
        <v>http://enext.ua/p0810006</v>
      </c>
    </row>
    <row r="1088" spans="2:7" ht="12" outlineLevel="3" x14ac:dyDescent="0.2">
      <c r="B1088" s="10"/>
      <c r="C1088" s="36" t="s">
        <v>2084</v>
      </c>
      <c r="D1088" s="10"/>
      <c r="E1088" s="11"/>
      <c r="F1088" s="11"/>
      <c r="G1088" s="10"/>
    </row>
    <row r="1089" spans="2:7" ht="12" outlineLevel="4" x14ac:dyDescent="0.2">
      <c r="B1089" s="12"/>
      <c r="C1089" s="37" t="s">
        <v>2085</v>
      </c>
      <c r="D1089" s="12"/>
      <c r="E1089" s="13"/>
      <c r="F1089" s="13"/>
      <c r="G1089" s="12"/>
    </row>
    <row r="1090" spans="2:7" ht="11.25" outlineLevel="5" x14ac:dyDescent="0.2">
      <c r="B1090" s="14" t="s">
        <v>2086</v>
      </c>
      <c r="C1090" s="14" t="s">
        <v>2087</v>
      </c>
      <c r="D1090" s="14">
        <v>1</v>
      </c>
      <c r="E1090" s="15">
        <v>17.760000000000002</v>
      </c>
      <c r="F1090" s="16" t="s">
        <v>8</v>
      </c>
      <c r="G1090" s="38" t="str">
        <f>HYPERLINK("http://enext.ua/p0810142")</f>
        <v>http://enext.ua/p0810142</v>
      </c>
    </row>
    <row r="1091" spans="2:7" ht="11.25" outlineLevel="5" x14ac:dyDescent="0.2">
      <c r="B1091" s="14" t="s">
        <v>2088</v>
      </c>
      <c r="C1091" s="14" t="s">
        <v>2089</v>
      </c>
      <c r="D1091" s="14">
        <v>1</v>
      </c>
      <c r="E1091" s="15">
        <v>17.760000000000002</v>
      </c>
      <c r="F1091" s="16" t="s">
        <v>8</v>
      </c>
      <c r="G1091" s="38" t="str">
        <f>HYPERLINK("http://enext.ua/p0810143")</f>
        <v>http://enext.ua/p0810143</v>
      </c>
    </row>
    <row r="1092" spans="2:7" ht="12" outlineLevel="4" x14ac:dyDescent="0.2">
      <c r="B1092" s="12"/>
      <c r="C1092" s="37" t="s">
        <v>2090</v>
      </c>
      <c r="D1092" s="12"/>
      <c r="E1092" s="13"/>
      <c r="F1092" s="13"/>
      <c r="G1092" s="12"/>
    </row>
    <row r="1093" spans="2:7" ht="11.25" outlineLevel="5" x14ac:dyDescent="0.2">
      <c r="B1093" s="14" t="s">
        <v>2091</v>
      </c>
      <c r="C1093" s="14" t="s">
        <v>2092</v>
      </c>
      <c r="D1093" s="14">
        <v>1</v>
      </c>
      <c r="E1093" s="15">
        <v>14.36</v>
      </c>
      <c r="F1093" s="16" t="s">
        <v>8</v>
      </c>
      <c r="G1093" s="38" t="str">
        <f>HYPERLINK("http://enext.ua/s008003")</f>
        <v>http://enext.ua/s008003</v>
      </c>
    </row>
    <row r="1094" spans="2:7" ht="11.25" outlineLevel="5" x14ac:dyDescent="0.2">
      <c r="B1094" s="14" t="s">
        <v>2093</v>
      </c>
      <c r="C1094" s="14" t="s">
        <v>2094</v>
      </c>
      <c r="D1094" s="14">
        <v>100</v>
      </c>
      <c r="E1094" s="15">
        <v>10.89</v>
      </c>
      <c r="F1094" s="16" t="s">
        <v>8</v>
      </c>
      <c r="G1094" s="38" t="str">
        <f>HYPERLINK("http://enext.ua/s008001")</f>
        <v>http://enext.ua/s008001</v>
      </c>
    </row>
    <row r="1095" spans="2:7" ht="11.25" outlineLevel="5" x14ac:dyDescent="0.2">
      <c r="B1095" s="14" t="s">
        <v>2095</v>
      </c>
      <c r="C1095" s="14" t="s">
        <v>2096</v>
      </c>
      <c r="D1095" s="14">
        <v>175</v>
      </c>
      <c r="E1095" s="15">
        <v>10.89</v>
      </c>
      <c r="F1095" s="16" t="s">
        <v>8</v>
      </c>
      <c r="G1095" s="38" t="str">
        <f>HYPERLINK("http://enext.ua/s008002")</f>
        <v>http://enext.ua/s008002</v>
      </c>
    </row>
    <row r="1096" spans="2:7" ht="12" outlineLevel="3" x14ac:dyDescent="0.2">
      <c r="B1096" s="10"/>
      <c r="C1096" s="36" t="s">
        <v>2097</v>
      </c>
      <c r="D1096" s="10"/>
      <c r="E1096" s="11"/>
      <c r="F1096" s="11"/>
      <c r="G1096" s="10"/>
    </row>
    <row r="1097" spans="2:7" ht="11.25" outlineLevel="4" x14ac:dyDescent="0.2">
      <c r="B1097" s="14" t="s">
        <v>2098</v>
      </c>
      <c r="C1097" s="14" t="s">
        <v>2099</v>
      </c>
      <c r="D1097" s="14">
        <v>100</v>
      </c>
      <c r="E1097" s="15">
        <v>16.170000000000002</v>
      </c>
      <c r="F1097" s="16" t="s">
        <v>8</v>
      </c>
      <c r="G1097" s="38" t="str">
        <f>HYPERLINK("http://enext.ua/s008006")</f>
        <v>http://enext.ua/s008006</v>
      </c>
    </row>
    <row r="1098" spans="2:7" ht="11.25" outlineLevel="4" x14ac:dyDescent="0.2">
      <c r="B1098" s="14" t="s">
        <v>2100</v>
      </c>
      <c r="C1098" s="14" t="s">
        <v>2101</v>
      </c>
      <c r="D1098" s="14">
        <v>100</v>
      </c>
      <c r="E1098" s="15">
        <v>16.170000000000002</v>
      </c>
      <c r="F1098" s="16" t="s">
        <v>8</v>
      </c>
      <c r="G1098" s="38" t="str">
        <f>HYPERLINK("http://enext.ua/s008005")</f>
        <v>http://enext.ua/s008005</v>
      </c>
    </row>
    <row r="1099" spans="2:7" ht="11.25" outlineLevel="4" x14ac:dyDescent="0.2">
      <c r="B1099" s="14" t="s">
        <v>2102</v>
      </c>
      <c r="C1099" s="14" t="s">
        <v>2103</v>
      </c>
      <c r="D1099" s="14">
        <v>1</v>
      </c>
      <c r="E1099" s="15">
        <v>97.6</v>
      </c>
      <c r="F1099" s="16" t="s">
        <v>8</v>
      </c>
      <c r="G1099" s="38" t="str">
        <f>HYPERLINK("http://enext.ua/s006013")</f>
        <v>http://enext.ua/s006013</v>
      </c>
    </row>
    <row r="1100" spans="2:7" ht="11.25" outlineLevel="4" x14ac:dyDescent="0.2">
      <c r="B1100" s="14" t="s">
        <v>2104</v>
      </c>
      <c r="C1100" s="14" t="s">
        <v>2105</v>
      </c>
      <c r="D1100" s="14">
        <v>1</v>
      </c>
      <c r="E1100" s="15">
        <v>97.6</v>
      </c>
      <c r="F1100" s="16" t="s">
        <v>8</v>
      </c>
      <c r="G1100" s="38" t="str">
        <f>HYPERLINK("http://enext.ua/s006014")</f>
        <v>http://enext.ua/s006014</v>
      </c>
    </row>
    <row r="1101" spans="2:7" ht="11.25" outlineLevel="4" x14ac:dyDescent="0.2">
      <c r="B1101" s="14" t="s">
        <v>2106</v>
      </c>
      <c r="C1101" s="14" t="s">
        <v>2107</v>
      </c>
      <c r="D1101" s="14">
        <v>1</v>
      </c>
      <c r="E1101" s="15">
        <v>97.6</v>
      </c>
      <c r="F1101" s="16" t="s">
        <v>8</v>
      </c>
      <c r="G1101" s="38" t="str">
        <f>HYPERLINK("http://enext.ua/s006007")</f>
        <v>http://enext.ua/s006007</v>
      </c>
    </row>
    <row r="1102" spans="2:7" ht="11.25" outlineLevel="4" x14ac:dyDescent="0.2">
      <c r="B1102" s="14" t="s">
        <v>2108</v>
      </c>
      <c r="C1102" s="14" t="s">
        <v>2109</v>
      </c>
      <c r="D1102" s="14">
        <v>1</v>
      </c>
      <c r="E1102" s="15">
        <v>97.6</v>
      </c>
      <c r="F1102" s="16" t="s">
        <v>8</v>
      </c>
      <c r="G1102" s="38" t="str">
        <f>HYPERLINK("http://enext.ua/s006009")</f>
        <v>http://enext.ua/s006009</v>
      </c>
    </row>
    <row r="1103" spans="2:7" ht="11.25" outlineLevel="4" x14ac:dyDescent="0.2">
      <c r="B1103" s="14" t="s">
        <v>2110</v>
      </c>
      <c r="C1103" s="14" t="s">
        <v>2111</v>
      </c>
      <c r="D1103" s="14">
        <v>1</v>
      </c>
      <c r="E1103" s="15">
        <v>97.6</v>
      </c>
      <c r="F1103" s="16" t="s">
        <v>8</v>
      </c>
      <c r="G1103" s="38" t="str">
        <f>HYPERLINK("http://enext.ua/s006008")</f>
        <v>http://enext.ua/s006008</v>
      </c>
    </row>
    <row r="1104" spans="2:7" ht="11.25" outlineLevel="4" x14ac:dyDescent="0.2">
      <c r="B1104" s="14" t="s">
        <v>2112</v>
      </c>
      <c r="C1104" s="14" t="s">
        <v>2113</v>
      </c>
      <c r="D1104" s="14">
        <v>1</v>
      </c>
      <c r="E1104" s="15">
        <v>97.6</v>
      </c>
      <c r="F1104" s="16" t="s">
        <v>8</v>
      </c>
      <c r="G1104" s="38" t="str">
        <f>HYPERLINK("http://enext.ua/s006010")</f>
        <v>http://enext.ua/s006010</v>
      </c>
    </row>
    <row r="1105" spans="2:7" ht="11.25" outlineLevel="4" x14ac:dyDescent="0.2">
      <c r="B1105" s="14" t="s">
        <v>2114</v>
      </c>
      <c r="C1105" s="14" t="s">
        <v>2115</v>
      </c>
      <c r="D1105" s="14">
        <v>1</v>
      </c>
      <c r="E1105" s="15">
        <v>97.6</v>
      </c>
      <c r="F1105" s="16" t="s">
        <v>8</v>
      </c>
      <c r="G1105" s="38" t="str">
        <f>HYPERLINK("http://enext.ua/s006011")</f>
        <v>http://enext.ua/s006011</v>
      </c>
    </row>
    <row r="1106" spans="2:7" ht="11.25" outlineLevel="4" x14ac:dyDescent="0.2">
      <c r="B1106" s="14" t="s">
        <v>2116</v>
      </c>
      <c r="C1106" s="14" t="s">
        <v>2117</v>
      </c>
      <c r="D1106" s="14">
        <v>1</v>
      </c>
      <c r="E1106" s="15">
        <v>97.6</v>
      </c>
      <c r="F1106" s="16" t="s">
        <v>8</v>
      </c>
      <c r="G1106" s="38" t="str">
        <f>HYPERLINK("http://enext.ua/s006012")</f>
        <v>http://enext.ua/s006012</v>
      </c>
    </row>
    <row r="1107" spans="2:7" ht="11.25" outlineLevel="4" x14ac:dyDescent="0.2">
      <c r="B1107" s="14" t="s">
        <v>2118</v>
      </c>
      <c r="C1107" s="14" t="s">
        <v>2119</v>
      </c>
      <c r="D1107" s="14">
        <v>1</v>
      </c>
      <c r="E1107" s="15">
        <v>112.91</v>
      </c>
      <c r="F1107" s="16" t="s">
        <v>8</v>
      </c>
      <c r="G1107" s="38" t="str">
        <f>HYPERLINK("http://enext.ua/s006019")</f>
        <v>http://enext.ua/s006019</v>
      </c>
    </row>
    <row r="1108" spans="2:7" ht="11.25" outlineLevel="4" x14ac:dyDescent="0.2">
      <c r="B1108" s="14" t="s">
        <v>2120</v>
      </c>
      <c r="C1108" s="14" t="s">
        <v>2121</v>
      </c>
      <c r="D1108" s="14">
        <v>1</v>
      </c>
      <c r="E1108" s="15">
        <v>145.53</v>
      </c>
      <c r="F1108" s="16" t="s">
        <v>8</v>
      </c>
      <c r="G1108" s="38" t="str">
        <f>HYPERLINK("http://enext.ua/s006020")</f>
        <v>http://enext.ua/s006020</v>
      </c>
    </row>
    <row r="1109" spans="2:7" ht="11.25" outlineLevel="4" x14ac:dyDescent="0.2">
      <c r="B1109" s="14" t="s">
        <v>2122</v>
      </c>
      <c r="C1109" s="14" t="s">
        <v>2123</v>
      </c>
      <c r="D1109" s="14">
        <v>1</v>
      </c>
      <c r="E1109" s="15">
        <v>97.6</v>
      </c>
      <c r="F1109" s="16" t="s">
        <v>8</v>
      </c>
      <c r="G1109" s="38" t="str">
        <f>HYPERLINK("http://enext.ua/s006015")</f>
        <v>http://enext.ua/s006015</v>
      </c>
    </row>
    <row r="1110" spans="2:7" ht="11.25" outlineLevel="4" x14ac:dyDescent="0.2">
      <c r="B1110" s="14" t="s">
        <v>2124</v>
      </c>
      <c r="C1110" s="14" t="s">
        <v>2125</v>
      </c>
      <c r="D1110" s="14">
        <v>1</v>
      </c>
      <c r="E1110" s="15">
        <v>112.91</v>
      </c>
      <c r="F1110" s="16" t="s">
        <v>8</v>
      </c>
      <c r="G1110" s="38" t="str">
        <f>HYPERLINK("http://enext.ua/s006016")</f>
        <v>http://enext.ua/s006016</v>
      </c>
    </row>
    <row r="1111" spans="2:7" ht="11.25" outlineLevel="4" x14ac:dyDescent="0.2">
      <c r="B1111" s="14" t="s">
        <v>2126</v>
      </c>
      <c r="C1111" s="14" t="s">
        <v>2127</v>
      </c>
      <c r="D1111" s="14">
        <v>1</v>
      </c>
      <c r="E1111" s="15">
        <v>153.91</v>
      </c>
      <c r="F1111" s="16" t="s">
        <v>8</v>
      </c>
      <c r="G1111" s="38" t="str">
        <f>HYPERLINK("http://enext.ua/s006018")</f>
        <v>http://enext.ua/s006018</v>
      </c>
    </row>
    <row r="1112" spans="2:7" ht="11.25" outlineLevel="4" x14ac:dyDescent="0.2">
      <c r="B1112" s="14" t="s">
        <v>2128</v>
      </c>
      <c r="C1112" s="14" t="s">
        <v>2129</v>
      </c>
      <c r="D1112" s="14">
        <v>1</v>
      </c>
      <c r="E1112" s="15">
        <v>153.91</v>
      </c>
      <c r="F1112" s="16" t="s">
        <v>8</v>
      </c>
      <c r="G1112" s="38" t="str">
        <f>HYPERLINK("http://enext.ua/s006017")</f>
        <v>http://enext.ua/s006017</v>
      </c>
    </row>
    <row r="1113" spans="2:7" ht="11.25" outlineLevel="4" x14ac:dyDescent="0.2">
      <c r="B1113" s="14" t="s">
        <v>2130</v>
      </c>
      <c r="C1113" s="14" t="s">
        <v>2131</v>
      </c>
      <c r="D1113" s="14">
        <v>1</v>
      </c>
      <c r="E1113" s="15">
        <v>241.4</v>
      </c>
      <c r="F1113" s="16" t="s">
        <v>8</v>
      </c>
      <c r="G1113" s="38" t="str">
        <f>HYPERLINK("http://enext.ua/s006022")</f>
        <v>http://enext.ua/s006022</v>
      </c>
    </row>
    <row r="1114" spans="2:7" ht="11.25" outlineLevel="4" x14ac:dyDescent="0.2">
      <c r="B1114" s="14" t="s">
        <v>2132</v>
      </c>
      <c r="C1114" s="14" t="s">
        <v>2133</v>
      </c>
      <c r="D1114" s="14">
        <v>1</v>
      </c>
      <c r="E1114" s="15">
        <v>241.4</v>
      </c>
      <c r="F1114" s="16" t="s">
        <v>8</v>
      </c>
      <c r="G1114" s="38" t="str">
        <f>HYPERLINK("http://enext.ua/s006021")</f>
        <v>http://enext.ua/s006021</v>
      </c>
    </row>
    <row r="1115" spans="2:7" ht="12" outlineLevel="3" x14ac:dyDescent="0.2">
      <c r="B1115" s="10"/>
      <c r="C1115" s="36" t="s">
        <v>2134</v>
      </c>
      <c r="D1115" s="10"/>
      <c r="E1115" s="11"/>
      <c r="F1115" s="11"/>
      <c r="G1115" s="10"/>
    </row>
    <row r="1116" spans="2:7" ht="11.25" outlineLevel="4" x14ac:dyDescent="0.2">
      <c r="B1116" s="14" t="s">
        <v>2135</v>
      </c>
      <c r="C1116" s="14" t="s">
        <v>2136</v>
      </c>
      <c r="D1116" s="14">
        <v>1</v>
      </c>
      <c r="E1116" s="15">
        <v>34.96</v>
      </c>
      <c r="F1116" s="16" t="s">
        <v>8</v>
      </c>
      <c r="G1116" s="38" t="str">
        <f>HYPERLINK("http://enext.ua/p0810012")</f>
        <v>http://enext.ua/p0810012</v>
      </c>
    </row>
    <row r="1117" spans="2:7" ht="11.25" outlineLevel="4" x14ac:dyDescent="0.2">
      <c r="B1117" s="14" t="s">
        <v>2137</v>
      </c>
      <c r="C1117" s="14" t="s">
        <v>2138</v>
      </c>
      <c r="D1117" s="14">
        <v>1</v>
      </c>
      <c r="E1117" s="15">
        <v>44.95</v>
      </c>
      <c r="F1117" s="16" t="s">
        <v>8</v>
      </c>
      <c r="G1117" s="38" t="str">
        <f>HYPERLINK("http://enext.ua/p0810013")</f>
        <v>http://enext.ua/p0810013</v>
      </c>
    </row>
    <row r="1118" spans="2:7" ht="11.25" outlineLevel="4" x14ac:dyDescent="0.2">
      <c r="B1118" s="14" t="s">
        <v>2139</v>
      </c>
      <c r="C1118" s="14" t="s">
        <v>2140</v>
      </c>
      <c r="D1118" s="14">
        <v>1</v>
      </c>
      <c r="E1118" s="15">
        <v>58.11</v>
      </c>
      <c r="F1118" s="16" t="s">
        <v>8</v>
      </c>
      <c r="G1118" s="38" t="str">
        <f>HYPERLINK("http://enext.ua/p0810014")</f>
        <v>http://enext.ua/p0810014</v>
      </c>
    </row>
    <row r="1119" spans="2:7" ht="11.25" outlineLevel="4" x14ac:dyDescent="0.2">
      <c r="B1119" s="14" t="s">
        <v>2141</v>
      </c>
      <c r="C1119" s="14" t="s">
        <v>2142</v>
      </c>
      <c r="D1119" s="14">
        <v>1</v>
      </c>
      <c r="E1119" s="15">
        <v>34.96</v>
      </c>
      <c r="F1119" s="16" t="s">
        <v>8</v>
      </c>
      <c r="G1119" s="38" t="str">
        <f>HYPERLINK("http://enext.ua/p0810146")</f>
        <v>http://enext.ua/p0810146</v>
      </c>
    </row>
    <row r="1120" spans="2:7" ht="11.25" outlineLevel="4" x14ac:dyDescent="0.2">
      <c r="B1120" s="14" t="s">
        <v>2143</v>
      </c>
      <c r="C1120" s="14" t="s">
        <v>2144</v>
      </c>
      <c r="D1120" s="14">
        <v>1</v>
      </c>
      <c r="E1120" s="15">
        <v>44.95</v>
      </c>
      <c r="F1120" s="16" t="s">
        <v>8</v>
      </c>
      <c r="G1120" s="38" t="str">
        <f>HYPERLINK("http://enext.ua/p0810147")</f>
        <v>http://enext.ua/p0810147</v>
      </c>
    </row>
    <row r="1121" spans="2:7" ht="11.25" outlineLevel="4" x14ac:dyDescent="0.2">
      <c r="B1121" s="14" t="s">
        <v>2145</v>
      </c>
      <c r="C1121" s="14" t="s">
        <v>2146</v>
      </c>
      <c r="D1121" s="14">
        <v>1</v>
      </c>
      <c r="E1121" s="15">
        <v>58.11</v>
      </c>
      <c r="F1121" s="16" t="s">
        <v>8</v>
      </c>
      <c r="G1121" s="38" t="str">
        <f>HYPERLINK("http://enext.ua/p0810148")</f>
        <v>http://enext.ua/p0810148</v>
      </c>
    </row>
    <row r="1122" spans="2:7" ht="11.25" outlineLevel="4" x14ac:dyDescent="0.2">
      <c r="B1122" s="14" t="s">
        <v>2147</v>
      </c>
      <c r="C1122" s="14" t="s">
        <v>2148</v>
      </c>
      <c r="D1122" s="14">
        <v>1</v>
      </c>
      <c r="E1122" s="15">
        <v>73.23</v>
      </c>
      <c r="F1122" s="16" t="s">
        <v>8</v>
      </c>
      <c r="G1122" s="38" t="str">
        <f>HYPERLINK("http://enext.ua/p0810149")</f>
        <v>http://enext.ua/p0810149</v>
      </c>
    </row>
    <row r="1123" spans="2:7" ht="11.25" outlineLevel="4" x14ac:dyDescent="0.2">
      <c r="B1123" s="14" t="s">
        <v>2149</v>
      </c>
      <c r="C1123" s="14" t="s">
        <v>2150</v>
      </c>
      <c r="D1123" s="14">
        <v>1</v>
      </c>
      <c r="E1123" s="15">
        <v>108.97</v>
      </c>
      <c r="F1123" s="16" t="s">
        <v>8</v>
      </c>
      <c r="G1123" s="38" t="str">
        <f>HYPERLINK("http://enext.ua/p0810150")</f>
        <v>http://enext.ua/p0810150</v>
      </c>
    </row>
    <row r="1124" spans="2:7" ht="12" outlineLevel="3" x14ac:dyDescent="0.2">
      <c r="B1124" s="10"/>
      <c r="C1124" s="36" t="s">
        <v>2151</v>
      </c>
      <c r="D1124" s="10"/>
      <c r="E1124" s="11"/>
      <c r="F1124" s="11"/>
      <c r="G1124" s="10"/>
    </row>
    <row r="1125" spans="2:7" ht="11.25" outlineLevel="4" x14ac:dyDescent="0.2">
      <c r="B1125" s="14" t="s">
        <v>2152</v>
      </c>
      <c r="C1125" s="14" t="s">
        <v>2153</v>
      </c>
      <c r="D1125" s="14">
        <v>10</v>
      </c>
      <c r="E1125" s="15">
        <v>134.78</v>
      </c>
      <c r="F1125" s="16" t="s">
        <v>8</v>
      </c>
      <c r="G1125" s="38" t="str">
        <f>HYPERLINK("http://enext.ua/s0070005")</f>
        <v>http://enext.ua/s0070005</v>
      </c>
    </row>
    <row r="1126" spans="2:7" ht="11.25" outlineLevel="4" x14ac:dyDescent="0.2">
      <c r="B1126" s="14" t="s">
        <v>2154</v>
      </c>
      <c r="C1126" s="14" t="s">
        <v>2155</v>
      </c>
      <c r="D1126" s="14">
        <v>10</v>
      </c>
      <c r="E1126" s="15">
        <v>134.78</v>
      </c>
      <c r="F1126" s="16" t="s">
        <v>8</v>
      </c>
      <c r="G1126" s="38" t="str">
        <f>HYPERLINK("http://enext.ua/s0070006")</f>
        <v>http://enext.ua/s0070006</v>
      </c>
    </row>
    <row r="1127" spans="2:7" ht="11.25" outlineLevel="4" x14ac:dyDescent="0.2">
      <c r="B1127" s="14" t="s">
        <v>2156</v>
      </c>
      <c r="C1127" s="14" t="s">
        <v>2157</v>
      </c>
      <c r="D1127" s="14">
        <v>10</v>
      </c>
      <c r="E1127" s="15">
        <v>134.78</v>
      </c>
      <c r="F1127" s="16" t="s">
        <v>8</v>
      </c>
      <c r="G1127" s="38" t="str">
        <f>HYPERLINK("http://enext.ua/s0070007")</f>
        <v>http://enext.ua/s0070007</v>
      </c>
    </row>
    <row r="1128" spans="2:7" ht="11.25" outlineLevel="4" x14ac:dyDescent="0.2">
      <c r="B1128" s="14" t="s">
        <v>2158</v>
      </c>
      <c r="C1128" s="14" t="s">
        <v>2159</v>
      </c>
      <c r="D1128" s="14">
        <v>10</v>
      </c>
      <c r="E1128" s="15">
        <v>134.78</v>
      </c>
      <c r="F1128" s="16" t="s">
        <v>8</v>
      </c>
      <c r="G1128" s="38" t="str">
        <f>HYPERLINK("http://enext.ua/s0070008")</f>
        <v>http://enext.ua/s0070008</v>
      </c>
    </row>
    <row r="1129" spans="2:7" ht="11.25" outlineLevel="4" x14ac:dyDescent="0.2">
      <c r="B1129" s="14" t="s">
        <v>2160</v>
      </c>
      <c r="C1129" s="14" t="s">
        <v>2161</v>
      </c>
      <c r="D1129" s="14">
        <v>10</v>
      </c>
      <c r="E1129" s="15">
        <v>134.78</v>
      </c>
      <c r="F1129" s="16" t="s">
        <v>8</v>
      </c>
      <c r="G1129" s="38" t="str">
        <f>HYPERLINK("http://enext.ua/s0070009")</f>
        <v>http://enext.ua/s0070009</v>
      </c>
    </row>
    <row r="1130" spans="2:7" ht="11.25" outlineLevel="4" x14ac:dyDescent="0.2">
      <c r="B1130" s="14" t="s">
        <v>2162</v>
      </c>
      <c r="C1130" s="14" t="s">
        <v>2163</v>
      </c>
      <c r="D1130" s="14">
        <v>10</v>
      </c>
      <c r="E1130" s="15">
        <v>134.78</v>
      </c>
      <c r="F1130" s="16" t="s">
        <v>8</v>
      </c>
      <c r="G1130" s="38" t="str">
        <f>HYPERLINK("http://enext.ua/s0070010")</f>
        <v>http://enext.ua/s0070010</v>
      </c>
    </row>
    <row r="1131" spans="2:7" ht="11.25" outlineLevel="4" x14ac:dyDescent="0.2">
      <c r="B1131" s="14" t="s">
        <v>2164</v>
      </c>
      <c r="C1131" s="14" t="s">
        <v>2165</v>
      </c>
      <c r="D1131" s="14">
        <v>10</v>
      </c>
      <c r="E1131" s="15">
        <v>134.78</v>
      </c>
      <c r="F1131" s="16" t="s">
        <v>8</v>
      </c>
      <c r="G1131" s="38" t="str">
        <f>HYPERLINK("http://enext.ua/s0070011")</f>
        <v>http://enext.ua/s0070011</v>
      </c>
    </row>
    <row r="1132" spans="2:7" ht="11.25" outlineLevel="4" x14ac:dyDescent="0.2">
      <c r="B1132" s="14" t="s">
        <v>2166</v>
      </c>
      <c r="C1132" s="14" t="s">
        <v>2167</v>
      </c>
      <c r="D1132" s="14">
        <v>10</v>
      </c>
      <c r="E1132" s="15">
        <v>134.78</v>
      </c>
      <c r="F1132" s="16" t="s">
        <v>8</v>
      </c>
      <c r="G1132" s="38" t="str">
        <f>HYPERLINK("http://enext.ua/s0070012")</f>
        <v>http://enext.ua/s0070012</v>
      </c>
    </row>
    <row r="1133" spans="2:7" ht="11.25" outlineLevel="4" x14ac:dyDescent="0.2">
      <c r="B1133" s="14" t="s">
        <v>2168</v>
      </c>
      <c r="C1133" s="14" t="s">
        <v>2169</v>
      </c>
      <c r="D1133" s="14">
        <v>10</v>
      </c>
      <c r="E1133" s="15">
        <v>134.78</v>
      </c>
      <c r="F1133" s="16" t="s">
        <v>8</v>
      </c>
      <c r="G1133" s="38" t="str">
        <f>HYPERLINK("http://enext.ua/s0070013")</f>
        <v>http://enext.ua/s0070013</v>
      </c>
    </row>
    <row r="1134" spans="2:7" ht="11.25" outlineLevel="4" x14ac:dyDescent="0.2">
      <c r="B1134" s="14" t="s">
        <v>2170</v>
      </c>
      <c r="C1134" s="14" t="s">
        <v>2171</v>
      </c>
      <c r="D1134" s="14">
        <v>1</v>
      </c>
      <c r="E1134" s="15">
        <v>134.78</v>
      </c>
      <c r="F1134" s="16" t="s">
        <v>8</v>
      </c>
      <c r="G1134" s="14"/>
    </row>
    <row r="1135" spans="2:7" ht="12" outlineLevel="3" x14ac:dyDescent="0.2">
      <c r="B1135" s="10"/>
      <c r="C1135" s="36" t="s">
        <v>2172</v>
      </c>
      <c r="D1135" s="10"/>
      <c r="E1135" s="11"/>
      <c r="F1135" s="11"/>
      <c r="G1135" s="10"/>
    </row>
    <row r="1136" spans="2:7" ht="12" outlineLevel="4" x14ac:dyDescent="0.2">
      <c r="B1136" s="12"/>
      <c r="C1136" s="37" t="s">
        <v>2173</v>
      </c>
      <c r="D1136" s="12"/>
      <c r="E1136" s="13"/>
      <c r="F1136" s="13"/>
      <c r="G1136" s="12"/>
    </row>
    <row r="1137" spans="2:7" ht="11.25" outlineLevel="5" x14ac:dyDescent="0.2">
      <c r="B1137" s="14" t="s">
        <v>2174</v>
      </c>
      <c r="C1137" s="14" t="s">
        <v>2175</v>
      </c>
      <c r="D1137" s="14">
        <v>1</v>
      </c>
      <c r="E1137" s="15">
        <v>401.66</v>
      </c>
      <c r="F1137" s="16" t="s">
        <v>8</v>
      </c>
      <c r="G1137" s="38" t="str">
        <f>HYPERLINK("http://enext.ua/s007004")</f>
        <v>http://enext.ua/s007004</v>
      </c>
    </row>
    <row r="1138" spans="2:7" ht="11.25" outlineLevel="5" x14ac:dyDescent="0.2">
      <c r="B1138" s="14" t="s">
        <v>2176</v>
      </c>
      <c r="C1138" s="14" t="s">
        <v>2177</v>
      </c>
      <c r="D1138" s="14">
        <v>1</v>
      </c>
      <c r="E1138" s="15">
        <v>486.55</v>
      </c>
      <c r="F1138" s="16" t="s">
        <v>8</v>
      </c>
      <c r="G1138" s="38" t="str">
        <f>HYPERLINK("http://enext.ua/s007006")</f>
        <v>http://enext.ua/s007006</v>
      </c>
    </row>
    <row r="1139" spans="2:7" ht="11.25" outlineLevel="5" x14ac:dyDescent="0.2">
      <c r="B1139" s="14" t="s">
        <v>2178</v>
      </c>
      <c r="C1139" s="14" t="s">
        <v>2179</v>
      </c>
      <c r="D1139" s="14">
        <v>1</v>
      </c>
      <c r="E1139" s="15">
        <v>471.28</v>
      </c>
      <c r="F1139" s="16" t="s">
        <v>8</v>
      </c>
      <c r="G1139" s="38" t="str">
        <f>HYPERLINK("http://enext.ua/s007005")</f>
        <v>http://enext.ua/s007005</v>
      </c>
    </row>
    <row r="1140" spans="2:7" ht="11.25" outlineLevel="5" x14ac:dyDescent="0.2">
      <c r="B1140" s="14" t="s">
        <v>2180</v>
      </c>
      <c r="C1140" s="14" t="s">
        <v>2181</v>
      </c>
      <c r="D1140" s="14">
        <v>1</v>
      </c>
      <c r="E1140" s="15">
        <v>565.20000000000005</v>
      </c>
      <c r="F1140" s="16" t="s">
        <v>8</v>
      </c>
      <c r="G1140" s="38" t="str">
        <f>HYPERLINK("http://enext.ua/s007007")</f>
        <v>http://enext.ua/s007007</v>
      </c>
    </row>
    <row r="1141" spans="2:7" ht="11.25" outlineLevel="5" x14ac:dyDescent="0.2">
      <c r="B1141" s="14" t="s">
        <v>2182</v>
      </c>
      <c r="C1141" s="14" t="s">
        <v>2183</v>
      </c>
      <c r="D1141" s="14">
        <v>1</v>
      </c>
      <c r="E1141" s="15">
        <v>598.59</v>
      </c>
      <c r="F1141" s="16" t="s">
        <v>8</v>
      </c>
      <c r="G1141" s="38" t="str">
        <f>HYPERLINK("http://enext.ua/s007008")</f>
        <v>http://enext.ua/s007008</v>
      </c>
    </row>
    <row r="1142" spans="2:7" ht="11.25" outlineLevel="5" x14ac:dyDescent="0.2">
      <c r="B1142" s="14" t="s">
        <v>2184</v>
      </c>
      <c r="C1142" s="14" t="s">
        <v>2185</v>
      </c>
      <c r="D1142" s="14">
        <v>1</v>
      </c>
      <c r="E1142" s="15">
        <v>605.23</v>
      </c>
      <c r="F1142" s="16" t="s">
        <v>8</v>
      </c>
      <c r="G1142" s="38" t="str">
        <f>HYPERLINK("http://enext.ua/s007010")</f>
        <v>http://enext.ua/s007010</v>
      </c>
    </row>
    <row r="1143" spans="2:7" ht="11.25" outlineLevel="5" x14ac:dyDescent="0.2">
      <c r="B1143" s="14" t="s">
        <v>2186</v>
      </c>
      <c r="C1143" s="14" t="s">
        <v>2187</v>
      </c>
      <c r="D1143" s="14">
        <v>1</v>
      </c>
      <c r="E1143" s="15">
        <v>667.31</v>
      </c>
      <c r="F1143" s="16" t="s">
        <v>8</v>
      </c>
      <c r="G1143" s="38" t="str">
        <f>HYPERLINK("http://enext.ua/s007009")</f>
        <v>http://enext.ua/s007009</v>
      </c>
    </row>
    <row r="1144" spans="2:7" ht="11.25" outlineLevel="5" x14ac:dyDescent="0.2">
      <c r="B1144" s="14" t="s">
        <v>2188</v>
      </c>
      <c r="C1144" s="14" t="s">
        <v>2189</v>
      </c>
      <c r="D1144" s="14">
        <v>1</v>
      </c>
      <c r="E1144" s="15">
        <v>704.54</v>
      </c>
      <c r="F1144" s="16" t="s">
        <v>8</v>
      </c>
      <c r="G1144" s="38" t="str">
        <f>HYPERLINK("http://enext.ua/s007011")</f>
        <v>http://enext.ua/s007011</v>
      </c>
    </row>
    <row r="1145" spans="2:7" ht="11.25" outlineLevel="5" x14ac:dyDescent="0.2">
      <c r="B1145" s="14" t="s">
        <v>2190</v>
      </c>
      <c r="C1145" s="14" t="s">
        <v>2191</v>
      </c>
      <c r="D1145" s="14">
        <v>1</v>
      </c>
      <c r="E1145" s="15">
        <v>746.14</v>
      </c>
      <c r="F1145" s="16" t="s">
        <v>8</v>
      </c>
      <c r="G1145" s="38" t="str">
        <f>HYPERLINK("http://enext.ua/s007012")</f>
        <v>http://enext.ua/s007012</v>
      </c>
    </row>
    <row r="1146" spans="2:7" ht="11.25" outlineLevel="5" x14ac:dyDescent="0.2">
      <c r="B1146" s="14" t="s">
        <v>2192</v>
      </c>
      <c r="C1146" s="14" t="s">
        <v>2193</v>
      </c>
      <c r="D1146" s="14">
        <v>1</v>
      </c>
      <c r="E1146" s="15">
        <v>872.6</v>
      </c>
      <c r="F1146" s="16" t="s">
        <v>8</v>
      </c>
      <c r="G1146" s="38" t="str">
        <f>HYPERLINK("http://enext.ua/s007013")</f>
        <v>http://enext.ua/s007013</v>
      </c>
    </row>
    <row r="1147" spans="2:7" ht="11.25" outlineLevel="5" x14ac:dyDescent="0.2">
      <c r="B1147" s="14" t="s">
        <v>2194</v>
      </c>
      <c r="C1147" s="14" t="s">
        <v>2195</v>
      </c>
      <c r="D1147" s="14">
        <v>1</v>
      </c>
      <c r="E1147" s="15">
        <v>885.6</v>
      </c>
      <c r="F1147" s="16" t="s">
        <v>8</v>
      </c>
      <c r="G1147" s="38" t="str">
        <f>HYPERLINK("http://enext.ua/s007014")</f>
        <v>http://enext.ua/s007014</v>
      </c>
    </row>
    <row r="1148" spans="2:7" ht="11.25" outlineLevel="5" x14ac:dyDescent="0.2">
      <c r="B1148" s="14" t="s">
        <v>2196</v>
      </c>
      <c r="C1148" s="14" t="s">
        <v>2197</v>
      </c>
      <c r="D1148" s="14">
        <v>1</v>
      </c>
      <c r="E1148" s="15">
        <v>899.47</v>
      </c>
      <c r="F1148" s="16" t="s">
        <v>8</v>
      </c>
      <c r="G1148" s="38" t="str">
        <f>HYPERLINK("http://enext.ua/s007015")</f>
        <v>http://enext.ua/s007015</v>
      </c>
    </row>
    <row r="1149" spans="2:7" ht="11.25" outlineLevel="5" x14ac:dyDescent="0.2">
      <c r="B1149" s="14" t="s">
        <v>2198</v>
      </c>
      <c r="C1149" s="14" t="s">
        <v>2199</v>
      </c>
      <c r="D1149" s="14">
        <v>1</v>
      </c>
      <c r="E1149" s="17">
        <v>1016.41</v>
      </c>
      <c r="F1149" s="16" t="s">
        <v>8</v>
      </c>
      <c r="G1149" s="38" t="str">
        <f>HYPERLINK("http://enext.ua/s007016")</f>
        <v>http://enext.ua/s007016</v>
      </c>
    </row>
    <row r="1150" spans="2:7" ht="12" outlineLevel="4" x14ac:dyDescent="0.2">
      <c r="B1150" s="12"/>
      <c r="C1150" s="37" t="s">
        <v>2200</v>
      </c>
      <c r="D1150" s="12"/>
      <c r="E1150" s="13"/>
      <c r="F1150" s="13"/>
      <c r="G1150" s="12"/>
    </row>
    <row r="1151" spans="2:7" ht="11.25" outlineLevel="5" x14ac:dyDescent="0.2">
      <c r="B1151" s="14" t="s">
        <v>2201</v>
      </c>
      <c r="C1151" s="14" t="s">
        <v>2202</v>
      </c>
      <c r="D1151" s="14">
        <v>1</v>
      </c>
      <c r="E1151" s="15">
        <v>89.9</v>
      </c>
      <c r="F1151" s="16" t="s">
        <v>8</v>
      </c>
      <c r="G1151" s="38" t="str">
        <f>HYPERLINK("http://enext.ua/s007001")</f>
        <v>http://enext.ua/s007001</v>
      </c>
    </row>
    <row r="1152" spans="2:7" ht="11.25" outlineLevel="5" x14ac:dyDescent="0.2">
      <c r="B1152" s="14" t="s">
        <v>2203</v>
      </c>
      <c r="C1152" s="14" t="s">
        <v>2204</v>
      </c>
      <c r="D1152" s="14">
        <v>1</v>
      </c>
      <c r="E1152" s="15">
        <v>130.76</v>
      </c>
      <c r="F1152" s="16" t="s">
        <v>8</v>
      </c>
      <c r="G1152" s="38" t="str">
        <f>HYPERLINK("http://enext.ua/s007002")</f>
        <v>http://enext.ua/s007002</v>
      </c>
    </row>
    <row r="1153" spans="2:7" ht="11.25" outlineLevel="5" x14ac:dyDescent="0.2">
      <c r="B1153" s="14" t="s">
        <v>2205</v>
      </c>
      <c r="C1153" s="14" t="s">
        <v>2206</v>
      </c>
      <c r="D1153" s="14">
        <v>1</v>
      </c>
      <c r="E1153" s="15">
        <v>171.64</v>
      </c>
      <c r="F1153" s="16" t="s">
        <v>8</v>
      </c>
      <c r="G1153" s="38" t="str">
        <f>HYPERLINK("http://enext.ua/s007003")</f>
        <v>http://enext.ua/s007003</v>
      </c>
    </row>
    <row r="1154" spans="2:7" ht="11.25" outlineLevel="5" x14ac:dyDescent="0.2">
      <c r="B1154" s="14" t="s">
        <v>2207</v>
      </c>
      <c r="C1154" s="14" t="s">
        <v>2208</v>
      </c>
      <c r="D1154" s="14">
        <v>1</v>
      </c>
      <c r="E1154" s="15">
        <v>212.85</v>
      </c>
      <c r="F1154" s="16" t="s">
        <v>8</v>
      </c>
      <c r="G1154" s="38" t="str">
        <f>HYPERLINK("http://enext.ua/s0070004")</f>
        <v>http://enext.ua/s0070004</v>
      </c>
    </row>
    <row r="1155" spans="2:7" ht="12" outlineLevel="3" x14ac:dyDescent="0.2">
      <c r="B1155" s="10"/>
      <c r="C1155" s="36" t="s">
        <v>2209</v>
      </c>
      <c r="D1155" s="10"/>
      <c r="E1155" s="11"/>
      <c r="F1155" s="11"/>
      <c r="G1155" s="10"/>
    </row>
    <row r="1156" spans="2:7" ht="11.25" outlineLevel="4" x14ac:dyDescent="0.2">
      <c r="B1156" s="14" t="s">
        <v>2210</v>
      </c>
      <c r="C1156" s="14" t="s">
        <v>2211</v>
      </c>
      <c r="D1156" s="14">
        <v>1</v>
      </c>
      <c r="E1156" s="15">
        <v>86.19</v>
      </c>
      <c r="F1156" s="16" t="s">
        <v>8</v>
      </c>
      <c r="G1156" s="38" t="str">
        <f>HYPERLINK("http://enext.ua/p0810151")</f>
        <v>http://enext.ua/p0810151</v>
      </c>
    </row>
    <row r="1157" spans="2:7" ht="11.25" outlineLevel="4" x14ac:dyDescent="0.2">
      <c r="B1157" s="14" t="s">
        <v>2212</v>
      </c>
      <c r="C1157" s="14" t="s">
        <v>2213</v>
      </c>
      <c r="D1157" s="14">
        <v>1</v>
      </c>
      <c r="E1157" s="15">
        <v>151.16</v>
      </c>
      <c r="F1157" s="16" t="s">
        <v>8</v>
      </c>
      <c r="G1157" s="38" t="str">
        <f>HYPERLINK("http://enext.ua/p0810152")</f>
        <v>http://enext.ua/p0810152</v>
      </c>
    </row>
    <row r="1158" spans="2:7" ht="11.25" outlineLevel="4" x14ac:dyDescent="0.2">
      <c r="B1158" s="14" t="s">
        <v>2214</v>
      </c>
      <c r="C1158" s="14" t="s">
        <v>2215</v>
      </c>
      <c r="D1158" s="14">
        <v>1</v>
      </c>
      <c r="E1158" s="15">
        <v>571.51</v>
      </c>
      <c r="F1158" s="16" t="s">
        <v>8</v>
      </c>
      <c r="G1158" s="38" t="str">
        <f>HYPERLINK("http://enext.ua/p0810153")</f>
        <v>http://enext.ua/p0810153</v>
      </c>
    </row>
    <row r="1159" spans="2:7" ht="12" outlineLevel="3" x14ac:dyDescent="0.2">
      <c r="B1159" s="10"/>
      <c r="C1159" s="36" t="s">
        <v>2216</v>
      </c>
      <c r="D1159" s="10"/>
      <c r="E1159" s="11"/>
      <c r="F1159" s="11"/>
      <c r="G1159" s="10"/>
    </row>
    <row r="1160" spans="2:7" ht="11.25" outlineLevel="4" x14ac:dyDescent="0.2">
      <c r="B1160" s="14" t="s">
        <v>2217</v>
      </c>
      <c r="C1160" s="14" t="s">
        <v>2218</v>
      </c>
      <c r="D1160" s="14">
        <v>1</v>
      </c>
      <c r="E1160" s="15">
        <v>11.89</v>
      </c>
      <c r="F1160" s="16" t="s">
        <v>8</v>
      </c>
      <c r="G1160" s="38" t="str">
        <f>HYPERLINK("http://enext.ua/s2040001")</f>
        <v>http://enext.ua/s2040001</v>
      </c>
    </row>
    <row r="1161" spans="2:7" ht="11.25" outlineLevel="4" x14ac:dyDescent="0.2">
      <c r="B1161" s="14" t="s">
        <v>2219</v>
      </c>
      <c r="C1161" s="14" t="s">
        <v>2220</v>
      </c>
      <c r="D1161" s="14">
        <v>1</v>
      </c>
      <c r="E1161" s="15">
        <v>19.27</v>
      </c>
      <c r="F1161" s="16" t="s">
        <v>8</v>
      </c>
      <c r="G1161" s="38" t="str">
        <f>HYPERLINK("http://enext.ua/s2040002")</f>
        <v>http://enext.ua/s2040002</v>
      </c>
    </row>
    <row r="1162" spans="2:7" ht="11.25" outlineLevel="4" x14ac:dyDescent="0.2">
      <c r="B1162" s="14" t="s">
        <v>2221</v>
      </c>
      <c r="C1162" s="14" t="s">
        <v>2222</v>
      </c>
      <c r="D1162" s="14">
        <v>1</v>
      </c>
      <c r="E1162" s="15">
        <v>11.89</v>
      </c>
      <c r="F1162" s="16" t="s">
        <v>8</v>
      </c>
      <c r="G1162" s="38" t="str">
        <f>HYPERLINK("http://enext.ua/s2040003")</f>
        <v>http://enext.ua/s2040003</v>
      </c>
    </row>
    <row r="1163" spans="2:7" ht="11.25" outlineLevel="4" x14ac:dyDescent="0.2">
      <c r="B1163" s="14" t="s">
        <v>2223</v>
      </c>
      <c r="C1163" s="14" t="s">
        <v>2224</v>
      </c>
      <c r="D1163" s="14">
        <v>1</v>
      </c>
      <c r="E1163" s="15">
        <v>12.75</v>
      </c>
      <c r="F1163" s="16" t="s">
        <v>8</v>
      </c>
      <c r="G1163" s="38" t="str">
        <f>HYPERLINK("http://enext.ua/s2040004")</f>
        <v>http://enext.ua/s2040004</v>
      </c>
    </row>
    <row r="1164" spans="2:7" ht="12" outlineLevel="2" x14ac:dyDescent="0.2">
      <c r="B1164" s="8"/>
      <c r="C1164" s="35" t="s">
        <v>2225</v>
      </c>
      <c r="D1164" s="8"/>
      <c r="E1164" s="9"/>
      <c r="F1164" s="9"/>
      <c r="G1164" s="8"/>
    </row>
    <row r="1165" spans="2:7" ht="11.25" outlineLevel="3" x14ac:dyDescent="0.2">
      <c r="B1165" s="14" t="s">
        <v>2226</v>
      </c>
      <c r="C1165" s="14" t="s">
        <v>2227</v>
      </c>
      <c r="D1165" s="14">
        <v>1</v>
      </c>
      <c r="E1165" s="15">
        <v>441.1</v>
      </c>
      <c r="F1165" s="16" t="s">
        <v>8</v>
      </c>
      <c r="G1165" s="38" t="str">
        <f>HYPERLINK("http://enext.ua/i0360015")</f>
        <v>http://enext.ua/i0360015</v>
      </c>
    </row>
    <row r="1166" spans="2:7" ht="11.25" outlineLevel="3" x14ac:dyDescent="0.2">
      <c r="B1166" s="14" t="s">
        <v>2228</v>
      </c>
      <c r="C1166" s="14" t="s">
        <v>2229</v>
      </c>
      <c r="D1166" s="14">
        <v>1</v>
      </c>
      <c r="E1166" s="15">
        <v>614.63</v>
      </c>
      <c r="F1166" s="16" t="s">
        <v>8</v>
      </c>
      <c r="G1166" s="38" t="str">
        <f>HYPERLINK("http://enext.ua/i0360016")</f>
        <v>http://enext.ua/i0360016</v>
      </c>
    </row>
    <row r="1167" spans="2:7" ht="11.25" outlineLevel="3" x14ac:dyDescent="0.2">
      <c r="B1167" s="14" t="s">
        <v>2230</v>
      </c>
      <c r="C1167" s="14" t="s">
        <v>2231</v>
      </c>
      <c r="D1167" s="14">
        <v>1</v>
      </c>
      <c r="E1167" s="15">
        <v>322.02999999999997</v>
      </c>
      <c r="F1167" s="16" t="s">
        <v>8</v>
      </c>
      <c r="G1167" s="14"/>
    </row>
    <row r="1168" spans="2:7" ht="11.25" outlineLevel="3" x14ac:dyDescent="0.2">
      <c r="B1168" s="14" t="s">
        <v>2232</v>
      </c>
      <c r="C1168" s="14" t="s">
        <v>2233</v>
      </c>
      <c r="D1168" s="14">
        <v>1</v>
      </c>
      <c r="E1168" s="15">
        <v>226.88</v>
      </c>
      <c r="F1168" s="16" t="s">
        <v>8</v>
      </c>
      <c r="G1168" s="38" t="str">
        <f>HYPERLINK("http://enext.ua/i0360001")</f>
        <v>http://enext.ua/i0360001</v>
      </c>
    </row>
    <row r="1169" spans="2:7" ht="11.25" outlineLevel="3" x14ac:dyDescent="0.2">
      <c r="B1169" s="14" t="s">
        <v>2234</v>
      </c>
      <c r="C1169" s="14" t="s">
        <v>2235</v>
      </c>
      <c r="D1169" s="14">
        <v>1</v>
      </c>
      <c r="E1169" s="15">
        <v>394.08</v>
      </c>
      <c r="F1169" s="16" t="s">
        <v>8</v>
      </c>
      <c r="G1169" s="38" t="str">
        <f>HYPERLINK("http://enext.ua/i0360002")</f>
        <v>http://enext.ua/i0360002</v>
      </c>
    </row>
    <row r="1170" spans="2:7" ht="11.25" outlineLevel="3" x14ac:dyDescent="0.2">
      <c r="B1170" s="14" t="s">
        <v>2236</v>
      </c>
      <c r="C1170" s="14" t="s">
        <v>2237</v>
      </c>
      <c r="D1170" s="14">
        <v>1</v>
      </c>
      <c r="E1170" s="15">
        <v>547.53</v>
      </c>
      <c r="F1170" s="16" t="s">
        <v>8</v>
      </c>
      <c r="G1170" s="38" t="str">
        <f>HYPERLINK("http://enext.ua/i0360003")</f>
        <v>http://enext.ua/i0360003</v>
      </c>
    </row>
    <row r="1171" spans="2:7" ht="11.25" outlineLevel="3" x14ac:dyDescent="0.2">
      <c r="B1171" s="14" t="s">
        <v>2238</v>
      </c>
      <c r="C1171" s="14" t="s">
        <v>2239</v>
      </c>
      <c r="D1171" s="14">
        <v>1</v>
      </c>
      <c r="E1171" s="17">
        <v>1250.1500000000001</v>
      </c>
      <c r="F1171" s="16" t="s">
        <v>8</v>
      </c>
      <c r="G1171" s="38" t="str">
        <f>HYPERLINK("http://enext.ua/i0360004")</f>
        <v>http://enext.ua/i0360004</v>
      </c>
    </row>
    <row r="1172" spans="2:7" ht="11.25" outlineLevel="3" x14ac:dyDescent="0.2">
      <c r="B1172" s="14" t="s">
        <v>2240</v>
      </c>
      <c r="C1172" s="14" t="s">
        <v>2241</v>
      </c>
      <c r="D1172" s="14">
        <v>1</v>
      </c>
      <c r="E1172" s="15">
        <v>322.02999999999997</v>
      </c>
      <c r="F1172" s="16" t="s">
        <v>8</v>
      </c>
      <c r="G1172" s="38" t="str">
        <f>HYPERLINK("http://enext.ua/i0360008")</f>
        <v>http://enext.ua/i0360008</v>
      </c>
    </row>
    <row r="1173" spans="2:7" ht="11.25" outlineLevel="3" x14ac:dyDescent="0.2">
      <c r="B1173" s="14" t="s">
        <v>2242</v>
      </c>
      <c r="C1173" s="14" t="s">
        <v>2243</v>
      </c>
      <c r="D1173" s="14">
        <v>1</v>
      </c>
      <c r="E1173" s="15">
        <v>447.43</v>
      </c>
      <c r="F1173" s="16" t="s">
        <v>8</v>
      </c>
      <c r="G1173" s="38" t="str">
        <f>HYPERLINK("http://enext.ua/i0360009")</f>
        <v>http://enext.ua/i0360009</v>
      </c>
    </row>
    <row r="1174" spans="2:7" ht="11.25" outlineLevel="3" x14ac:dyDescent="0.2">
      <c r="B1174" s="14" t="s">
        <v>2244</v>
      </c>
      <c r="C1174" s="14" t="s">
        <v>2245</v>
      </c>
      <c r="D1174" s="14">
        <v>1</v>
      </c>
      <c r="E1174" s="15">
        <v>542.03</v>
      </c>
      <c r="F1174" s="16" t="s">
        <v>8</v>
      </c>
      <c r="G1174" s="38" t="str">
        <f>HYPERLINK("http://enext.ua/i0360020")</f>
        <v>http://enext.ua/i0360020</v>
      </c>
    </row>
    <row r="1175" spans="2:7" ht="11.25" outlineLevel="3" x14ac:dyDescent="0.2">
      <c r="B1175" s="14" t="s">
        <v>2246</v>
      </c>
      <c r="C1175" s="14" t="s">
        <v>2247</v>
      </c>
      <c r="D1175" s="14">
        <v>1</v>
      </c>
      <c r="E1175" s="17">
        <v>1180.58</v>
      </c>
      <c r="F1175" s="16" t="s">
        <v>8</v>
      </c>
      <c r="G1175" s="38" t="str">
        <f>HYPERLINK("http://enext.ua/i0360010")</f>
        <v>http://enext.ua/i0360010</v>
      </c>
    </row>
    <row r="1176" spans="2:7" ht="11.25" outlineLevel="3" x14ac:dyDescent="0.2">
      <c r="B1176" s="14" t="s">
        <v>2248</v>
      </c>
      <c r="C1176" s="14" t="s">
        <v>2249</v>
      </c>
      <c r="D1176" s="14">
        <v>1</v>
      </c>
      <c r="E1176" s="17">
        <v>1651.93</v>
      </c>
      <c r="F1176" s="16" t="s">
        <v>8</v>
      </c>
      <c r="G1176" s="38" t="str">
        <f>HYPERLINK("http://enext.ua/i0360011")</f>
        <v>http://enext.ua/i0360011</v>
      </c>
    </row>
    <row r="1177" spans="2:7" ht="11.25" outlineLevel="3" x14ac:dyDescent="0.2">
      <c r="B1177" s="14" t="s">
        <v>2250</v>
      </c>
      <c r="C1177" s="14" t="s">
        <v>2251</v>
      </c>
      <c r="D1177" s="14">
        <v>1</v>
      </c>
      <c r="E1177" s="15">
        <v>409.48</v>
      </c>
      <c r="F1177" s="16" t="s">
        <v>8</v>
      </c>
      <c r="G1177" s="38" t="str">
        <f>HYPERLINK("http://enext.ua/i0360005")</f>
        <v>http://enext.ua/i0360005</v>
      </c>
    </row>
    <row r="1178" spans="2:7" ht="11.25" outlineLevel="3" x14ac:dyDescent="0.2">
      <c r="B1178" s="14" t="s">
        <v>2252</v>
      </c>
      <c r="C1178" s="14" t="s">
        <v>2253</v>
      </c>
      <c r="D1178" s="14">
        <v>1</v>
      </c>
      <c r="E1178" s="15">
        <v>540.92999999999995</v>
      </c>
      <c r="F1178" s="16" t="s">
        <v>8</v>
      </c>
      <c r="G1178" s="38" t="str">
        <f>HYPERLINK("http://enext.ua/i0360017")</f>
        <v>http://enext.ua/i0360017</v>
      </c>
    </row>
    <row r="1179" spans="2:7" ht="11.25" outlineLevel="3" x14ac:dyDescent="0.2">
      <c r="B1179" s="14" t="s">
        <v>2254</v>
      </c>
      <c r="C1179" s="14" t="s">
        <v>2255</v>
      </c>
      <c r="D1179" s="14">
        <v>1</v>
      </c>
      <c r="E1179" s="15">
        <v>623.42999999999995</v>
      </c>
      <c r="F1179" s="16" t="s">
        <v>8</v>
      </c>
      <c r="G1179" s="38" t="str">
        <f>HYPERLINK("http://enext.ua/i0360006")</f>
        <v>http://enext.ua/i0360006</v>
      </c>
    </row>
    <row r="1180" spans="2:7" ht="11.25" outlineLevel="3" x14ac:dyDescent="0.2">
      <c r="B1180" s="14" t="s">
        <v>2256</v>
      </c>
      <c r="C1180" s="14" t="s">
        <v>2257</v>
      </c>
      <c r="D1180" s="14">
        <v>1</v>
      </c>
      <c r="E1180" s="17">
        <v>1399.48</v>
      </c>
      <c r="F1180" s="16" t="s">
        <v>8</v>
      </c>
      <c r="G1180" s="38" t="str">
        <f>HYPERLINK("http://enext.ua/i0360019")</f>
        <v>http://enext.ua/i0360019</v>
      </c>
    </row>
    <row r="1181" spans="2:7" ht="11.25" outlineLevel="3" x14ac:dyDescent="0.2">
      <c r="B1181" s="14" t="s">
        <v>2258</v>
      </c>
      <c r="C1181" s="14" t="s">
        <v>2259</v>
      </c>
      <c r="D1181" s="14">
        <v>1</v>
      </c>
      <c r="E1181" s="17">
        <v>1838.65</v>
      </c>
      <c r="F1181" s="16" t="s">
        <v>8</v>
      </c>
      <c r="G1181" s="38" t="str">
        <f>HYPERLINK("http://enext.ua/i0360007")</f>
        <v>http://enext.ua/i0360007</v>
      </c>
    </row>
    <row r="1182" spans="2:7" ht="11.25" outlineLevel="3" x14ac:dyDescent="0.2">
      <c r="B1182" s="14" t="s">
        <v>2260</v>
      </c>
      <c r="C1182" s="14" t="s">
        <v>2261</v>
      </c>
      <c r="D1182" s="14">
        <v>1</v>
      </c>
      <c r="E1182" s="15">
        <v>484</v>
      </c>
      <c r="F1182" s="16" t="s">
        <v>8</v>
      </c>
      <c r="G1182" s="38" t="str">
        <f>HYPERLINK("http://enext.ua/i0360012")</f>
        <v>http://enext.ua/i0360012</v>
      </c>
    </row>
    <row r="1183" spans="2:7" ht="11.25" outlineLevel="3" x14ac:dyDescent="0.2">
      <c r="B1183" s="14" t="s">
        <v>2262</v>
      </c>
      <c r="C1183" s="14" t="s">
        <v>2263</v>
      </c>
      <c r="D1183" s="14">
        <v>1</v>
      </c>
      <c r="E1183" s="15">
        <v>700.98</v>
      </c>
      <c r="F1183" s="16" t="s">
        <v>8</v>
      </c>
      <c r="G1183" s="38" t="str">
        <f>HYPERLINK("http://enext.ua/i0360013")</f>
        <v>http://enext.ua/i0360013</v>
      </c>
    </row>
    <row r="1184" spans="2:7" ht="11.25" outlineLevel="3" x14ac:dyDescent="0.2">
      <c r="B1184" s="14" t="s">
        <v>2264</v>
      </c>
      <c r="C1184" s="14" t="s">
        <v>2265</v>
      </c>
      <c r="D1184" s="14">
        <v>1</v>
      </c>
      <c r="E1184" s="17">
        <v>2262.4299999999998</v>
      </c>
      <c r="F1184" s="16" t="s">
        <v>8</v>
      </c>
      <c r="G1184" s="38" t="str">
        <f>HYPERLINK("http://enext.ua/i0360014")</f>
        <v>http://enext.ua/i0360014</v>
      </c>
    </row>
    <row r="1185" spans="2:7" ht="12" outlineLevel="2" x14ac:dyDescent="0.2">
      <c r="B1185" s="8"/>
      <c r="C1185" s="35" t="s">
        <v>2266</v>
      </c>
      <c r="D1185" s="8"/>
      <c r="E1185" s="9"/>
      <c r="F1185" s="9"/>
      <c r="G1185" s="8"/>
    </row>
    <row r="1186" spans="2:7" ht="12" outlineLevel="3" x14ac:dyDescent="0.2">
      <c r="B1186" s="10"/>
      <c r="C1186" s="36" t="s">
        <v>2267</v>
      </c>
      <c r="D1186" s="10"/>
      <c r="E1186" s="11"/>
      <c r="F1186" s="11"/>
      <c r="G1186" s="10"/>
    </row>
    <row r="1187" spans="2:7" ht="11.25" outlineLevel="4" x14ac:dyDescent="0.2">
      <c r="B1187" s="14" t="s">
        <v>2268</v>
      </c>
      <c r="C1187" s="14" t="s">
        <v>2269</v>
      </c>
      <c r="D1187" s="14">
        <v>1</v>
      </c>
      <c r="E1187" s="15">
        <v>526.98</v>
      </c>
      <c r="F1187" s="16" t="s">
        <v>8</v>
      </c>
      <c r="G1187" s="38" t="str">
        <f>HYPERLINK("http://enext.ua/8361-200")</f>
        <v>http://enext.ua/8361-200</v>
      </c>
    </row>
    <row r="1188" spans="2:7" ht="11.25" outlineLevel="4" x14ac:dyDescent="0.2">
      <c r="B1188" s="14" t="s">
        <v>2270</v>
      </c>
      <c r="C1188" s="14" t="s">
        <v>2271</v>
      </c>
      <c r="D1188" s="14">
        <v>1</v>
      </c>
      <c r="E1188" s="15">
        <v>529.66</v>
      </c>
      <c r="F1188" s="16" t="s">
        <v>8</v>
      </c>
      <c r="G1188" s="38" t="str">
        <f>HYPERLINK("http://enext.ua/8311-200")</f>
        <v>http://enext.ua/8311-200</v>
      </c>
    </row>
    <row r="1189" spans="2:7" ht="11.25" outlineLevel="4" x14ac:dyDescent="0.2">
      <c r="B1189" s="14" t="s">
        <v>2272</v>
      </c>
      <c r="C1189" s="14" t="s">
        <v>2273</v>
      </c>
      <c r="D1189" s="14">
        <v>1</v>
      </c>
      <c r="E1189" s="15">
        <v>800.92</v>
      </c>
      <c r="F1189" s="16" t="s">
        <v>8</v>
      </c>
      <c r="G1189" s="38" t="str">
        <f>HYPERLINK("http://enext.ua/8331-200")</f>
        <v>http://enext.ua/8331-200</v>
      </c>
    </row>
    <row r="1190" spans="2:7" ht="11.25" outlineLevel="4" x14ac:dyDescent="0.2">
      <c r="B1190" s="14" t="s">
        <v>2274</v>
      </c>
      <c r="C1190" s="14" t="s">
        <v>2275</v>
      </c>
      <c r="D1190" s="14">
        <v>1</v>
      </c>
      <c r="E1190" s="15">
        <v>739.41</v>
      </c>
      <c r="F1190" s="16" t="s">
        <v>8</v>
      </c>
      <c r="G1190" s="38" t="str">
        <f>HYPERLINK("http://enext.ua/8351-200")</f>
        <v>http://enext.ua/8351-200</v>
      </c>
    </row>
    <row r="1191" spans="2:7" ht="11.25" outlineLevel="4" x14ac:dyDescent="0.2">
      <c r="B1191" s="14" t="s">
        <v>2276</v>
      </c>
      <c r="C1191" s="14" t="s">
        <v>2277</v>
      </c>
      <c r="D1191" s="14">
        <v>1</v>
      </c>
      <c r="E1191" s="15">
        <v>771.39</v>
      </c>
      <c r="F1191" s="16" t="s">
        <v>8</v>
      </c>
      <c r="G1191" s="38" t="str">
        <f>HYPERLINK("http://enext.ua/8321-200")</f>
        <v>http://enext.ua/8321-200</v>
      </c>
    </row>
    <row r="1192" spans="2:7" ht="22.5" outlineLevel="4" x14ac:dyDescent="0.2">
      <c r="B1192" s="14" t="s">
        <v>2278</v>
      </c>
      <c r="C1192" s="14" t="s">
        <v>2279</v>
      </c>
      <c r="D1192" s="14">
        <v>1</v>
      </c>
      <c r="E1192" s="15">
        <v>892.39</v>
      </c>
      <c r="F1192" s="16" t="s">
        <v>8</v>
      </c>
      <c r="G1192" s="38" t="str">
        <f>HYPERLINK("http://enext.ua/8341-200")</f>
        <v>http://enext.ua/8341-200</v>
      </c>
    </row>
    <row r="1193" spans="2:7" ht="11.25" outlineLevel="4" x14ac:dyDescent="0.2">
      <c r="B1193" s="14" t="s">
        <v>2280</v>
      </c>
      <c r="C1193" s="14" t="s">
        <v>2281</v>
      </c>
      <c r="D1193" s="14">
        <v>1</v>
      </c>
      <c r="E1193" s="15">
        <v>508.87</v>
      </c>
      <c r="F1193" s="16" t="s">
        <v>8</v>
      </c>
      <c r="G1193" s="38" t="str">
        <f>HYPERLINK("http://enext.ua/8461-200")</f>
        <v>http://enext.ua/8461-200</v>
      </c>
    </row>
    <row r="1194" spans="2:7" ht="11.25" outlineLevel="4" x14ac:dyDescent="0.2">
      <c r="B1194" s="14" t="s">
        <v>2282</v>
      </c>
      <c r="C1194" s="14" t="s">
        <v>2283</v>
      </c>
      <c r="D1194" s="14">
        <v>1</v>
      </c>
      <c r="E1194" s="15">
        <v>721.72</v>
      </c>
      <c r="F1194" s="16" t="s">
        <v>8</v>
      </c>
      <c r="G1194" s="38" t="str">
        <f>HYPERLINK("http://enext.ua/8411-200")</f>
        <v>http://enext.ua/8411-200</v>
      </c>
    </row>
    <row r="1195" spans="2:7" ht="11.25" outlineLevel="4" x14ac:dyDescent="0.2">
      <c r="B1195" s="14" t="s">
        <v>2284</v>
      </c>
      <c r="C1195" s="14" t="s">
        <v>2285</v>
      </c>
      <c r="D1195" s="14">
        <v>1</v>
      </c>
      <c r="E1195" s="15">
        <v>881.43</v>
      </c>
      <c r="F1195" s="16" t="s">
        <v>8</v>
      </c>
      <c r="G1195" s="38" t="str">
        <f>HYPERLINK("http://enext.ua/8431-200")</f>
        <v>http://enext.ua/8431-200</v>
      </c>
    </row>
    <row r="1196" spans="2:7" ht="11.25" outlineLevel="4" x14ac:dyDescent="0.2">
      <c r="B1196" s="14" t="s">
        <v>2286</v>
      </c>
      <c r="C1196" s="14" t="s">
        <v>2287</v>
      </c>
      <c r="D1196" s="14">
        <v>1</v>
      </c>
      <c r="E1196" s="15">
        <v>890.33</v>
      </c>
      <c r="F1196" s="16" t="s">
        <v>8</v>
      </c>
      <c r="G1196" s="38" t="str">
        <f>HYPERLINK("http://enext.ua/8451-200")</f>
        <v>http://enext.ua/8451-200</v>
      </c>
    </row>
    <row r="1197" spans="2:7" ht="11.25" outlineLevel="4" x14ac:dyDescent="0.2">
      <c r="B1197" s="14" t="s">
        <v>2288</v>
      </c>
      <c r="C1197" s="14" t="s">
        <v>2289</v>
      </c>
      <c r="D1197" s="14">
        <v>1</v>
      </c>
      <c r="E1197" s="15">
        <v>794.31</v>
      </c>
      <c r="F1197" s="16" t="s">
        <v>8</v>
      </c>
      <c r="G1197" s="38" t="str">
        <f>HYPERLINK("http://enext.ua/8421-200")</f>
        <v>http://enext.ua/8421-200</v>
      </c>
    </row>
    <row r="1198" spans="2:7" ht="22.5" outlineLevel="4" x14ac:dyDescent="0.2">
      <c r="B1198" s="14" t="s">
        <v>2290</v>
      </c>
      <c r="C1198" s="14" t="s">
        <v>2291</v>
      </c>
      <c r="D1198" s="14">
        <v>1</v>
      </c>
      <c r="E1198" s="15">
        <v>997.92</v>
      </c>
      <c r="F1198" s="16" t="s">
        <v>8</v>
      </c>
      <c r="G1198" s="38" t="str">
        <f>HYPERLINK("http://enext.ua/8441-200")</f>
        <v>http://enext.ua/8441-200</v>
      </c>
    </row>
    <row r="1199" spans="2:7" ht="11.25" outlineLevel="4" x14ac:dyDescent="0.2">
      <c r="B1199" s="14" t="s">
        <v>2292</v>
      </c>
      <c r="C1199" s="14" t="s">
        <v>2293</v>
      </c>
      <c r="D1199" s="14">
        <v>1</v>
      </c>
      <c r="E1199" s="15">
        <v>535.91999999999996</v>
      </c>
      <c r="F1199" s="16" t="s">
        <v>8</v>
      </c>
      <c r="G1199" s="38" t="str">
        <f>HYPERLINK("http://enext.ua/8661-200")</f>
        <v>http://enext.ua/8661-200</v>
      </c>
    </row>
    <row r="1200" spans="2:7" ht="11.25" outlineLevel="4" x14ac:dyDescent="0.2">
      <c r="B1200" s="14" t="s">
        <v>2294</v>
      </c>
      <c r="C1200" s="14" t="s">
        <v>2295</v>
      </c>
      <c r="D1200" s="14">
        <v>1</v>
      </c>
      <c r="E1200" s="15">
        <v>760.18</v>
      </c>
      <c r="F1200" s="16" t="s">
        <v>8</v>
      </c>
      <c r="G1200" s="38" t="str">
        <f>HYPERLINK("http://enext.ua/8611-200")</f>
        <v>http://enext.ua/8611-200</v>
      </c>
    </row>
    <row r="1201" spans="2:7" ht="11.25" outlineLevel="4" x14ac:dyDescent="0.2">
      <c r="B1201" s="14" t="s">
        <v>2296</v>
      </c>
      <c r="C1201" s="14" t="s">
        <v>2297</v>
      </c>
      <c r="D1201" s="14">
        <v>1</v>
      </c>
      <c r="E1201" s="17">
        <v>1048.78</v>
      </c>
      <c r="F1201" s="16" t="s">
        <v>8</v>
      </c>
      <c r="G1201" s="38" t="str">
        <f>HYPERLINK("http://enext.ua/8631-200")</f>
        <v>http://enext.ua/8631-200</v>
      </c>
    </row>
    <row r="1202" spans="2:7" ht="11.25" outlineLevel="4" x14ac:dyDescent="0.2">
      <c r="B1202" s="14" t="s">
        <v>2298</v>
      </c>
      <c r="C1202" s="14" t="s">
        <v>2299</v>
      </c>
      <c r="D1202" s="14">
        <v>1</v>
      </c>
      <c r="E1202" s="15">
        <v>943.13</v>
      </c>
      <c r="F1202" s="16" t="s">
        <v>8</v>
      </c>
      <c r="G1202" s="38" t="str">
        <f>HYPERLINK("http://enext.ua/8651-200")</f>
        <v>http://enext.ua/8651-200</v>
      </c>
    </row>
    <row r="1203" spans="2:7" ht="11.25" outlineLevel="4" x14ac:dyDescent="0.2">
      <c r="B1203" s="14" t="s">
        <v>2300</v>
      </c>
      <c r="C1203" s="14" t="s">
        <v>2301</v>
      </c>
      <c r="D1203" s="14">
        <v>1</v>
      </c>
      <c r="E1203" s="17">
        <v>1083.73</v>
      </c>
      <c r="F1203" s="16" t="s">
        <v>8</v>
      </c>
      <c r="G1203" s="38" t="str">
        <f>HYPERLINK("http://enext.ua/8621-200")</f>
        <v>http://enext.ua/8621-200</v>
      </c>
    </row>
    <row r="1204" spans="2:7" ht="22.5" outlineLevel="4" x14ac:dyDescent="0.2">
      <c r="B1204" s="14" t="s">
        <v>2302</v>
      </c>
      <c r="C1204" s="14" t="s">
        <v>2303</v>
      </c>
      <c r="D1204" s="14">
        <v>1</v>
      </c>
      <c r="E1204" s="17">
        <v>1275.04</v>
      </c>
      <c r="F1204" s="16" t="s">
        <v>8</v>
      </c>
      <c r="G1204" s="38" t="str">
        <f>HYPERLINK("http://enext.ua/8641-200")</f>
        <v>http://enext.ua/8641-200</v>
      </c>
    </row>
    <row r="1205" spans="2:7" ht="11.25" outlineLevel="4" x14ac:dyDescent="0.2">
      <c r="B1205" s="14" t="s">
        <v>2304</v>
      </c>
      <c r="C1205" s="14" t="s">
        <v>2305</v>
      </c>
      <c r="D1205" s="14">
        <v>1</v>
      </c>
      <c r="E1205" s="17">
        <v>1147.3800000000001</v>
      </c>
      <c r="F1205" s="16" t="s">
        <v>8</v>
      </c>
      <c r="G1205" s="38" t="str">
        <f>HYPERLINK("http://enext.ua/8811-200")</f>
        <v>http://enext.ua/8811-200</v>
      </c>
    </row>
    <row r="1206" spans="2:7" ht="11.25" outlineLevel="4" x14ac:dyDescent="0.2">
      <c r="B1206" s="14" t="s">
        <v>2306</v>
      </c>
      <c r="C1206" s="14" t="s">
        <v>2307</v>
      </c>
      <c r="D1206" s="14">
        <v>1</v>
      </c>
      <c r="E1206" s="17">
        <v>1677.94</v>
      </c>
      <c r="F1206" s="16" t="s">
        <v>8</v>
      </c>
      <c r="G1206" s="38" t="str">
        <f>HYPERLINK("http://enext.ua/8831-200")</f>
        <v>http://enext.ua/8831-200</v>
      </c>
    </row>
    <row r="1207" spans="2:7" ht="11.25" outlineLevel="4" x14ac:dyDescent="0.2">
      <c r="B1207" s="14" t="s">
        <v>2308</v>
      </c>
      <c r="C1207" s="14" t="s">
        <v>2309</v>
      </c>
      <c r="D1207" s="14">
        <v>1</v>
      </c>
      <c r="E1207" s="17">
        <v>1264.23</v>
      </c>
      <c r="F1207" s="16" t="s">
        <v>8</v>
      </c>
      <c r="G1207" s="38" t="str">
        <f>HYPERLINK("http://enext.ua/8821-200")</f>
        <v>http://enext.ua/8821-200</v>
      </c>
    </row>
    <row r="1208" spans="2:7" ht="24" outlineLevel="3" x14ac:dyDescent="0.2">
      <c r="B1208" s="10"/>
      <c r="C1208" s="36" t="s">
        <v>2310</v>
      </c>
      <c r="D1208" s="10"/>
      <c r="E1208" s="11"/>
      <c r="F1208" s="11"/>
      <c r="G1208" s="10"/>
    </row>
    <row r="1209" spans="2:7" ht="22.5" outlineLevel="4" x14ac:dyDescent="0.2">
      <c r="B1209" s="14" t="s">
        <v>2311</v>
      </c>
      <c r="C1209" s="14" t="s">
        <v>2312</v>
      </c>
      <c r="D1209" s="14">
        <v>1</v>
      </c>
      <c r="E1209" s="15">
        <v>541.85</v>
      </c>
      <c r="F1209" s="16" t="s">
        <v>8</v>
      </c>
      <c r="G1209" s="38" t="str">
        <f>HYPERLINK("http://enext.ua/8365-200")</f>
        <v>http://enext.ua/8365-200</v>
      </c>
    </row>
    <row r="1210" spans="2:7" ht="22.5" outlineLevel="4" x14ac:dyDescent="0.2">
      <c r="B1210" s="14" t="s">
        <v>2313</v>
      </c>
      <c r="C1210" s="14" t="s">
        <v>2314</v>
      </c>
      <c r="D1210" s="14">
        <v>1</v>
      </c>
      <c r="E1210" s="15">
        <v>579.16</v>
      </c>
      <c r="F1210" s="16" t="s">
        <v>8</v>
      </c>
      <c r="G1210" s="38" t="str">
        <f>HYPERLINK("http://enext.ua/8315-200")</f>
        <v>http://enext.ua/8315-200</v>
      </c>
    </row>
    <row r="1211" spans="2:7" ht="22.5" outlineLevel="4" x14ac:dyDescent="0.2">
      <c r="B1211" s="14" t="s">
        <v>2315</v>
      </c>
      <c r="C1211" s="14" t="s">
        <v>2316</v>
      </c>
      <c r="D1211" s="14">
        <v>1</v>
      </c>
      <c r="E1211" s="15">
        <v>849.12</v>
      </c>
      <c r="F1211" s="16" t="s">
        <v>8</v>
      </c>
      <c r="G1211" s="38" t="str">
        <f>HYPERLINK("http://enext.ua/8335-200")</f>
        <v>http://enext.ua/8335-200</v>
      </c>
    </row>
    <row r="1212" spans="2:7" ht="22.5" outlineLevel="4" x14ac:dyDescent="0.2">
      <c r="B1212" s="14" t="s">
        <v>2317</v>
      </c>
      <c r="C1212" s="14" t="s">
        <v>2318</v>
      </c>
      <c r="D1212" s="14">
        <v>1</v>
      </c>
      <c r="E1212" s="15">
        <v>794.31</v>
      </c>
      <c r="F1212" s="16" t="s">
        <v>8</v>
      </c>
      <c r="G1212" s="38" t="str">
        <f>HYPERLINK("http://enext.ua/8325-200")</f>
        <v>http://enext.ua/8325-200</v>
      </c>
    </row>
    <row r="1213" spans="2:7" ht="22.5" outlineLevel="4" x14ac:dyDescent="0.2">
      <c r="B1213" s="14" t="s">
        <v>2319</v>
      </c>
      <c r="C1213" s="14" t="s">
        <v>2320</v>
      </c>
      <c r="D1213" s="14">
        <v>1</v>
      </c>
      <c r="E1213" s="15">
        <v>459.4</v>
      </c>
      <c r="F1213" s="16" t="s">
        <v>8</v>
      </c>
      <c r="G1213" s="38" t="str">
        <f>HYPERLINK("http://enext.ua/8465-200")</f>
        <v>http://enext.ua/8465-200</v>
      </c>
    </row>
    <row r="1214" spans="2:7" ht="22.5" outlineLevel="4" x14ac:dyDescent="0.2">
      <c r="B1214" s="14" t="s">
        <v>2321</v>
      </c>
      <c r="C1214" s="14" t="s">
        <v>2322</v>
      </c>
      <c r="D1214" s="14">
        <v>1</v>
      </c>
      <c r="E1214" s="15">
        <v>781.11</v>
      </c>
      <c r="F1214" s="16" t="s">
        <v>8</v>
      </c>
      <c r="G1214" s="38" t="str">
        <f>HYPERLINK("http://enext.ua/8415-200")</f>
        <v>http://enext.ua/8415-200</v>
      </c>
    </row>
    <row r="1215" spans="2:7" ht="22.5" outlineLevel="4" x14ac:dyDescent="0.2">
      <c r="B1215" s="14" t="s">
        <v>2323</v>
      </c>
      <c r="C1215" s="14" t="s">
        <v>2324</v>
      </c>
      <c r="D1215" s="14">
        <v>1</v>
      </c>
      <c r="E1215" s="15">
        <v>901.24</v>
      </c>
      <c r="F1215" s="16" t="s">
        <v>8</v>
      </c>
      <c r="G1215" s="38" t="str">
        <f>HYPERLINK("http://enext.ua/8435-200")</f>
        <v>http://enext.ua/8435-200</v>
      </c>
    </row>
    <row r="1216" spans="2:7" ht="22.5" outlineLevel="4" x14ac:dyDescent="0.2">
      <c r="B1216" s="14" t="s">
        <v>2325</v>
      </c>
      <c r="C1216" s="14" t="s">
        <v>2326</v>
      </c>
      <c r="D1216" s="14">
        <v>1</v>
      </c>
      <c r="E1216" s="15">
        <v>885.05</v>
      </c>
      <c r="F1216" s="16" t="s">
        <v>8</v>
      </c>
      <c r="G1216" s="38" t="str">
        <f>HYPERLINK("http://enext.ua/8425-200")</f>
        <v>http://enext.ua/8425-200</v>
      </c>
    </row>
    <row r="1217" spans="2:7" ht="22.5" outlineLevel="4" x14ac:dyDescent="0.2">
      <c r="B1217" s="14" t="s">
        <v>2327</v>
      </c>
      <c r="C1217" s="14" t="s">
        <v>2328</v>
      </c>
      <c r="D1217" s="14">
        <v>1</v>
      </c>
      <c r="E1217" s="15">
        <v>523.04999999999995</v>
      </c>
      <c r="F1217" s="16" t="s">
        <v>8</v>
      </c>
      <c r="G1217" s="38" t="str">
        <f>HYPERLINK("http://enext.ua/8665-200")</f>
        <v>http://enext.ua/8665-200</v>
      </c>
    </row>
    <row r="1218" spans="2:7" ht="22.5" outlineLevel="4" x14ac:dyDescent="0.2">
      <c r="B1218" s="14" t="s">
        <v>2329</v>
      </c>
      <c r="C1218" s="14" t="s">
        <v>2330</v>
      </c>
      <c r="D1218" s="14">
        <v>1</v>
      </c>
      <c r="E1218" s="17">
        <v>1069.2</v>
      </c>
      <c r="F1218" s="16" t="s">
        <v>8</v>
      </c>
      <c r="G1218" s="38" t="str">
        <f>HYPERLINK("http://enext.ua/8615-200")</f>
        <v>http://enext.ua/8615-200</v>
      </c>
    </row>
    <row r="1219" spans="2:7" ht="22.5" outlineLevel="4" x14ac:dyDescent="0.2">
      <c r="B1219" s="14" t="s">
        <v>2331</v>
      </c>
      <c r="C1219" s="14" t="s">
        <v>2332</v>
      </c>
      <c r="D1219" s="14">
        <v>1</v>
      </c>
      <c r="E1219" s="17">
        <v>1072.17</v>
      </c>
      <c r="F1219" s="16" t="s">
        <v>8</v>
      </c>
      <c r="G1219" s="38" t="str">
        <f>HYPERLINK("http://enext.ua/8635-200")</f>
        <v>http://enext.ua/8635-200</v>
      </c>
    </row>
    <row r="1220" spans="2:7" ht="22.5" outlineLevel="4" x14ac:dyDescent="0.2">
      <c r="B1220" s="14" t="s">
        <v>2333</v>
      </c>
      <c r="C1220" s="14" t="s">
        <v>2334</v>
      </c>
      <c r="D1220" s="14">
        <v>1</v>
      </c>
      <c r="E1220" s="17">
        <v>1095.8699999999999</v>
      </c>
      <c r="F1220" s="16" t="s">
        <v>8</v>
      </c>
      <c r="G1220" s="38" t="str">
        <f>HYPERLINK("http://enext.ua/8625-200")</f>
        <v>http://enext.ua/8625-200</v>
      </c>
    </row>
    <row r="1221" spans="2:7" ht="22.5" outlineLevel="4" x14ac:dyDescent="0.2">
      <c r="B1221" s="14" t="s">
        <v>2335</v>
      </c>
      <c r="C1221" s="14" t="s">
        <v>2336</v>
      </c>
      <c r="D1221" s="14">
        <v>1</v>
      </c>
      <c r="E1221" s="17">
        <v>1311.1</v>
      </c>
      <c r="F1221" s="16" t="s">
        <v>8</v>
      </c>
      <c r="G1221" s="38" t="str">
        <f>HYPERLINK("http://enext.ua/8815-200")</f>
        <v>http://enext.ua/8815-200</v>
      </c>
    </row>
    <row r="1222" spans="2:7" ht="22.5" outlineLevel="4" x14ac:dyDescent="0.2">
      <c r="B1222" s="14" t="s">
        <v>2337</v>
      </c>
      <c r="C1222" s="14" t="s">
        <v>2338</v>
      </c>
      <c r="D1222" s="14">
        <v>1</v>
      </c>
      <c r="E1222" s="17">
        <v>1711.37</v>
      </c>
      <c r="F1222" s="16" t="s">
        <v>8</v>
      </c>
      <c r="G1222" s="38" t="str">
        <f>HYPERLINK("http://enext.ua/8835-200")</f>
        <v>http://enext.ua/8835-200</v>
      </c>
    </row>
    <row r="1223" spans="2:7" ht="22.5" outlineLevel="4" x14ac:dyDescent="0.2">
      <c r="B1223" s="14" t="s">
        <v>2339</v>
      </c>
      <c r="C1223" s="14" t="s">
        <v>2340</v>
      </c>
      <c r="D1223" s="14">
        <v>1</v>
      </c>
      <c r="E1223" s="17">
        <v>2197.0700000000002</v>
      </c>
      <c r="F1223" s="16" t="s">
        <v>8</v>
      </c>
      <c r="G1223" s="38" t="str">
        <f>HYPERLINK("http://enext.ua/8825-200")</f>
        <v>http://enext.ua/8825-200</v>
      </c>
    </row>
    <row r="1224" spans="2:7" ht="12" outlineLevel="3" x14ac:dyDescent="0.2">
      <c r="B1224" s="10"/>
      <c r="C1224" s="36" t="s">
        <v>2341</v>
      </c>
      <c r="D1224" s="10"/>
      <c r="E1224" s="11"/>
      <c r="F1224" s="11"/>
      <c r="G1224" s="10"/>
    </row>
    <row r="1225" spans="2:7" ht="11.25" outlineLevel="4" x14ac:dyDescent="0.2">
      <c r="B1225" s="14" t="s">
        <v>2342</v>
      </c>
      <c r="C1225" s="14" t="s">
        <v>2343</v>
      </c>
      <c r="D1225" s="14">
        <v>1</v>
      </c>
      <c r="E1225" s="15">
        <v>698.95</v>
      </c>
      <c r="F1225" s="16" t="s">
        <v>8</v>
      </c>
      <c r="G1225" s="38" t="str">
        <f>HYPERLINK("http://enext.ua/8364-200")</f>
        <v>http://enext.ua/8364-200</v>
      </c>
    </row>
    <row r="1226" spans="2:7" ht="11.25" outlineLevel="4" x14ac:dyDescent="0.2">
      <c r="B1226" s="14" t="s">
        <v>2344</v>
      </c>
      <c r="C1226" s="14" t="s">
        <v>2345</v>
      </c>
      <c r="D1226" s="14">
        <v>1</v>
      </c>
      <c r="E1226" s="15">
        <v>745.13</v>
      </c>
      <c r="F1226" s="16" t="s">
        <v>8</v>
      </c>
      <c r="G1226" s="38" t="str">
        <f>HYPERLINK("http://enext.ua/8314-200")</f>
        <v>http://enext.ua/8314-200</v>
      </c>
    </row>
    <row r="1227" spans="2:7" ht="11.25" outlineLevel="4" x14ac:dyDescent="0.2">
      <c r="B1227" s="14" t="s">
        <v>2346</v>
      </c>
      <c r="C1227" s="14" t="s">
        <v>2347</v>
      </c>
      <c r="D1227" s="14">
        <v>1</v>
      </c>
      <c r="E1227" s="15">
        <v>915.1</v>
      </c>
      <c r="F1227" s="16" t="s">
        <v>8</v>
      </c>
      <c r="G1227" s="38" t="str">
        <f>HYPERLINK("http://enext.ua/8334-200")</f>
        <v>http://enext.ua/8334-200</v>
      </c>
    </row>
    <row r="1228" spans="2:7" ht="11.25" outlineLevel="4" x14ac:dyDescent="0.2">
      <c r="B1228" s="14" t="s">
        <v>2348</v>
      </c>
      <c r="C1228" s="14" t="s">
        <v>2349</v>
      </c>
      <c r="D1228" s="14">
        <v>1</v>
      </c>
      <c r="E1228" s="17">
        <v>1013.17</v>
      </c>
      <c r="F1228" s="16" t="s">
        <v>8</v>
      </c>
      <c r="G1228" s="38" t="str">
        <f>HYPERLINK("http://enext.ua/8324-200")</f>
        <v>http://enext.ua/8324-200</v>
      </c>
    </row>
    <row r="1229" spans="2:7" ht="11.25" outlineLevel="4" x14ac:dyDescent="0.2">
      <c r="B1229" s="14" t="s">
        <v>2350</v>
      </c>
      <c r="C1229" s="14" t="s">
        <v>2351</v>
      </c>
      <c r="D1229" s="14">
        <v>1</v>
      </c>
      <c r="E1229" s="15">
        <v>643.83000000000004</v>
      </c>
      <c r="F1229" s="16" t="s">
        <v>8</v>
      </c>
      <c r="G1229" s="38" t="str">
        <f>HYPERLINK("http://enext.ua/8464-200")</f>
        <v>http://enext.ua/8464-200</v>
      </c>
    </row>
    <row r="1230" spans="2:7" ht="11.25" outlineLevel="4" x14ac:dyDescent="0.2">
      <c r="B1230" s="14" t="s">
        <v>2352</v>
      </c>
      <c r="C1230" s="14" t="s">
        <v>2353</v>
      </c>
      <c r="D1230" s="14">
        <v>1</v>
      </c>
      <c r="E1230" s="15">
        <v>812.47</v>
      </c>
      <c r="F1230" s="16" t="s">
        <v>8</v>
      </c>
      <c r="G1230" s="38" t="str">
        <f>HYPERLINK("http://enext.ua/8414-200")</f>
        <v>http://enext.ua/8414-200</v>
      </c>
    </row>
    <row r="1231" spans="2:7" ht="11.25" outlineLevel="4" x14ac:dyDescent="0.2">
      <c r="B1231" s="14" t="s">
        <v>2354</v>
      </c>
      <c r="C1231" s="14" t="s">
        <v>2355</v>
      </c>
      <c r="D1231" s="14">
        <v>1</v>
      </c>
      <c r="E1231" s="17">
        <v>1122</v>
      </c>
      <c r="F1231" s="16" t="s">
        <v>8</v>
      </c>
      <c r="G1231" s="38" t="str">
        <f>HYPERLINK("http://enext.ua/8434-200")</f>
        <v>http://enext.ua/8434-200</v>
      </c>
    </row>
    <row r="1232" spans="2:7" ht="11.25" outlineLevel="4" x14ac:dyDescent="0.2">
      <c r="B1232" s="14" t="s">
        <v>2356</v>
      </c>
      <c r="C1232" s="14" t="s">
        <v>2357</v>
      </c>
      <c r="D1232" s="14">
        <v>1</v>
      </c>
      <c r="E1232" s="17">
        <v>1415.98</v>
      </c>
      <c r="F1232" s="16" t="s">
        <v>8</v>
      </c>
      <c r="G1232" s="38" t="str">
        <f>HYPERLINK("http://enext.ua/8424-200")</f>
        <v>http://enext.ua/8424-200</v>
      </c>
    </row>
    <row r="1233" spans="2:7" ht="11.25" outlineLevel="4" x14ac:dyDescent="0.2">
      <c r="B1233" s="14" t="s">
        <v>2358</v>
      </c>
      <c r="C1233" s="14" t="s">
        <v>2359</v>
      </c>
      <c r="D1233" s="14">
        <v>1</v>
      </c>
      <c r="E1233" s="15">
        <v>667.92</v>
      </c>
      <c r="F1233" s="16" t="s">
        <v>8</v>
      </c>
      <c r="G1233" s="38" t="str">
        <f>HYPERLINK("http://enext.ua/8664-200")</f>
        <v>http://enext.ua/8664-200</v>
      </c>
    </row>
    <row r="1234" spans="2:7" ht="11.25" outlineLevel="4" x14ac:dyDescent="0.2">
      <c r="B1234" s="14" t="s">
        <v>2360</v>
      </c>
      <c r="C1234" s="14" t="s">
        <v>2361</v>
      </c>
      <c r="D1234" s="14">
        <v>1</v>
      </c>
      <c r="E1234" s="15">
        <v>960.63</v>
      </c>
      <c r="F1234" s="16" t="s">
        <v>8</v>
      </c>
      <c r="G1234" s="38" t="str">
        <f>HYPERLINK("http://enext.ua/8614-200")</f>
        <v>http://enext.ua/8614-200</v>
      </c>
    </row>
    <row r="1235" spans="2:7" ht="11.25" outlineLevel="4" x14ac:dyDescent="0.2">
      <c r="B1235" s="14" t="s">
        <v>2362</v>
      </c>
      <c r="C1235" s="14" t="s">
        <v>2363</v>
      </c>
      <c r="D1235" s="14">
        <v>1</v>
      </c>
      <c r="E1235" s="17">
        <v>1342.12</v>
      </c>
      <c r="F1235" s="16" t="s">
        <v>8</v>
      </c>
      <c r="G1235" s="38" t="str">
        <f>HYPERLINK("http://enext.ua/8634-200")</f>
        <v>http://enext.ua/8634-200</v>
      </c>
    </row>
    <row r="1236" spans="2:7" ht="11.25" outlineLevel="4" x14ac:dyDescent="0.2">
      <c r="B1236" s="14" t="s">
        <v>2364</v>
      </c>
      <c r="C1236" s="14" t="s">
        <v>2365</v>
      </c>
      <c r="D1236" s="14">
        <v>1</v>
      </c>
      <c r="E1236" s="17">
        <v>1444.73</v>
      </c>
      <c r="F1236" s="16" t="s">
        <v>8</v>
      </c>
      <c r="G1236" s="38" t="str">
        <f>HYPERLINK("http://enext.ua/8624-200")</f>
        <v>http://enext.ua/8624-200</v>
      </c>
    </row>
    <row r="1237" spans="2:7" ht="11.25" outlineLevel="4" x14ac:dyDescent="0.2">
      <c r="B1237" s="14" t="s">
        <v>2366</v>
      </c>
      <c r="C1237" s="14" t="s">
        <v>2367</v>
      </c>
      <c r="D1237" s="14">
        <v>1</v>
      </c>
      <c r="E1237" s="15">
        <v>885.05</v>
      </c>
      <c r="F1237" s="16" t="s">
        <v>8</v>
      </c>
      <c r="G1237" s="38" t="str">
        <f>HYPERLINK("http://enext.ua/8814-200")</f>
        <v>http://enext.ua/8814-200</v>
      </c>
    </row>
    <row r="1238" spans="2:7" ht="11.25" outlineLevel="4" x14ac:dyDescent="0.2">
      <c r="B1238" s="14" t="s">
        <v>2368</v>
      </c>
      <c r="C1238" s="14" t="s">
        <v>2369</v>
      </c>
      <c r="D1238" s="14">
        <v>1</v>
      </c>
      <c r="E1238" s="17">
        <v>2093.52</v>
      </c>
      <c r="F1238" s="16" t="s">
        <v>8</v>
      </c>
      <c r="G1238" s="38" t="str">
        <f>HYPERLINK("http://enext.ua/8834-200")</f>
        <v>http://enext.ua/8834-200</v>
      </c>
    </row>
    <row r="1239" spans="2:7" ht="11.25" outlineLevel="4" x14ac:dyDescent="0.2">
      <c r="B1239" s="14" t="s">
        <v>2370</v>
      </c>
      <c r="C1239" s="14" t="s">
        <v>2371</v>
      </c>
      <c r="D1239" s="14">
        <v>1</v>
      </c>
      <c r="E1239" s="17">
        <v>2593.94</v>
      </c>
      <c r="F1239" s="16" t="s">
        <v>8</v>
      </c>
      <c r="G1239" s="38" t="str">
        <f>HYPERLINK("http://enext.ua/8824-200")</f>
        <v>http://enext.ua/8824-200</v>
      </c>
    </row>
    <row r="1240" spans="2:7" ht="12" outlineLevel="3" x14ac:dyDescent="0.2">
      <c r="B1240" s="10"/>
      <c r="C1240" s="36" t="s">
        <v>2372</v>
      </c>
      <c r="D1240" s="10"/>
      <c r="E1240" s="11"/>
      <c r="F1240" s="11"/>
      <c r="G1240" s="10"/>
    </row>
    <row r="1241" spans="2:7" ht="11.25" outlineLevel="4" x14ac:dyDescent="0.2">
      <c r="B1241" s="14" t="s">
        <v>2373</v>
      </c>
      <c r="C1241" s="14" t="s">
        <v>2374</v>
      </c>
      <c r="D1241" s="14">
        <v>1</v>
      </c>
      <c r="E1241" s="15">
        <v>748.12</v>
      </c>
      <c r="F1241" s="16" t="s">
        <v>8</v>
      </c>
      <c r="G1241" s="38" t="str">
        <f>HYPERLINK("http://enext.ua/8368-200")</f>
        <v>http://enext.ua/8368-200</v>
      </c>
    </row>
    <row r="1242" spans="2:7" ht="11.25" outlineLevel="4" x14ac:dyDescent="0.2">
      <c r="B1242" s="14" t="s">
        <v>2375</v>
      </c>
      <c r="C1242" s="14" t="s">
        <v>2376</v>
      </c>
      <c r="D1242" s="14">
        <v>1</v>
      </c>
      <c r="E1242" s="15">
        <v>791.35</v>
      </c>
      <c r="F1242" s="16" t="s">
        <v>8</v>
      </c>
      <c r="G1242" s="38" t="str">
        <f>HYPERLINK("http://enext.ua/8318-200")</f>
        <v>http://enext.ua/8318-200</v>
      </c>
    </row>
    <row r="1243" spans="2:7" ht="22.5" outlineLevel="4" x14ac:dyDescent="0.2">
      <c r="B1243" s="14" t="s">
        <v>2377</v>
      </c>
      <c r="C1243" s="14" t="s">
        <v>2378</v>
      </c>
      <c r="D1243" s="14">
        <v>1</v>
      </c>
      <c r="E1243" s="15">
        <v>960.63</v>
      </c>
      <c r="F1243" s="16" t="s">
        <v>8</v>
      </c>
      <c r="G1243" s="38" t="str">
        <f>HYPERLINK("http://enext.ua/8338-200")</f>
        <v>http://enext.ua/8338-200</v>
      </c>
    </row>
    <row r="1244" spans="2:7" ht="11.25" outlineLevel="4" x14ac:dyDescent="0.2">
      <c r="B1244" s="14" t="s">
        <v>2379</v>
      </c>
      <c r="C1244" s="14" t="s">
        <v>2380</v>
      </c>
      <c r="D1244" s="14">
        <v>1</v>
      </c>
      <c r="E1244" s="15">
        <v>921.03</v>
      </c>
      <c r="F1244" s="16" t="s">
        <v>8</v>
      </c>
      <c r="G1244" s="38" t="str">
        <f>HYPERLINK("http://enext.ua/8328-200")</f>
        <v>http://enext.ua/8328-200</v>
      </c>
    </row>
    <row r="1245" spans="2:7" ht="11.25" outlineLevel="4" x14ac:dyDescent="0.2">
      <c r="B1245" s="14" t="s">
        <v>2381</v>
      </c>
      <c r="C1245" s="14" t="s">
        <v>2382</v>
      </c>
      <c r="D1245" s="14">
        <v>1</v>
      </c>
      <c r="E1245" s="15">
        <v>596.30999999999995</v>
      </c>
      <c r="F1245" s="16" t="s">
        <v>8</v>
      </c>
      <c r="G1245" s="38" t="str">
        <f>HYPERLINK("http://enext.ua/8468-200")</f>
        <v>http://enext.ua/8468-200</v>
      </c>
    </row>
    <row r="1246" spans="2:7" ht="11.25" outlineLevel="4" x14ac:dyDescent="0.2">
      <c r="B1246" s="14" t="s">
        <v>2383</v>
      </c>
      <c r="C1246" s="14" t="s">
        <v>2384</v>
      </c>
      <c r="D1246" s="14">
        <v>1</v>
      </c>
      <c r="E1246" s="15">
        <v>857.35</v>
      </c>
      <c r="F1246" s="16" t="s">
        <v>8</v>
      </c>
      <c r="G1246" s="38" t="str">
        <f>HYPERLINK("http://enext.ua/8418-200")</f>
        <v>http://enext.ua/8418-200</v>
      </c>
    </row>
    <row r="1247" spans="2:7" ht="22.5" outlineLevel="4" x14ac:dyDescent="0.2">
      <c r="B1247" s="14" t="s">
        <v>2385</v>
      </c>
      <c r="C1247" s="14" t="s">
        <v>2386</v>
      </c>
      <c r="D1247" s="14">
        <v>1</v>
      </c>
      <c r="E1247" s="17">
        <v>1168.21</v>
      </c>
      <c r="F1247" s="16" t="s">
        <v>8</v>
      </c>
      <c r="G1247" s="38" t="str">
        <f>HYPERLINK("http://enext.ua/8438-200")</f>
        <v>http://enext.ua/8438-200</v>
      </c>
    </row>
    <row r="1248" spans="2:7" ht="11.25" outlineLevel="4" x14ac:dyDescent="0.2">
      <c r="B1248" s="14" t="s">
        <v>2387</v>
      </c>
      <c r="C1248" s="14" t="s">
        <v>2388</v>
      </c>
      <c r="D1248" s="14">
        <v>1</v>
      </c>
      <c r="E1248" s="17">
        <v>1101.53</v>
      </c>
      <c r="F1248" s="16" t="s">
        <v>8</v>
      </c>
      <c r="G1248" s="38" t="str">
        <f>HYPERLINK("http://enext.ua/8428-200")</f>
        <v>http://enext.ua/8428-200</v>
      </c>
    </row>
    <row r="1249" spans="2:7" ht="11.25" outlineLevel="4" x14ac:dyDescent="0.2">
      <c r="B1249" s="14" t="s">
        <v>2389</v>
      </c>
      <c r="C1249" s="14" t="s">
        <v>2390</v>
      </c>
      <c r="D1249" s="14">
        <v>1</v>
      </c>
      <c r="E1249" s="15">
        <v>740.53</v>
      </c>
      <c r="F1249" s="16" t="s">
        <v>8</v>
      </c>
      <c r="G1249" s="38" t="str">
        <f>HYPERLINK("http://enext.ua/8668-200")</f>
        <v>http://enext.ua/8668-200</v>
      </c>
    </row>
    <row r="1250" spans="2:7" ht="11.25" outlineLevel="4" x14ac:dyDescent="0.2">
      <c r="B1250" s="14" t="s">
        <v>2391</v>
      </c>
      <c r="C1250" s="14" t="s">
        <v>2392</v>
      </c>
      <c r="D1250" s="14">
        <v>1</v>
      </c>
      <c r="E1250" s="15">
        <v>967.24</v>
      </c>
      <c r="F1250" s="16" t="s">
        <v>8</v>
      </c>
      <c r="G1250" s="38" t="str">
        <f>HYPERLINK("http://enext.ua/8618-200")</f>
        <v>http://enext.ua/8618-200</v>
      </c>
    </row>
    <row r="1251" spans="2:7" ht="22.5" outlineLevel="4" x14ac:dyDescent="0.2">
      <c r="B1251" s="14" t="s">
        <v>2393</v>
      </c>
      <c r="C1251" s="14" t="s">
        <v>2394</v>
      </c>
      <c r="D1251" s="14">
        <v>1</v>
      </c>
      <c r="E1251" s="17">
        <v>1380.07</v>
      </c>
      <c r="F1251" s="16" t="s">
        <v>8</v>
      </c>
      <c r="G1251" s="38" t="str">
        <f>HYPERLINK("http://enext.ua/8638-200")</f>
        <v>http://enext.ua/8638-200</v>
      </c>
    </row>
    <row r="1252" spans="2:7" ht="11.25" outlineLevel="4" x14ac:dyDescent="0.2">
      <c r="B1252" s="14" t="s">
        <v>2395</v>
      </c>
      <c r="C1252" s="14" t="s">
        <v>2396</v>
      </c>
      <c r="D1252" s="14">
        <v>1</v>
      </c>
      <c r="E1252" s="17">
        <v>1730.53</v>
      </c>
      <c r="F1252" s="16" t="s">
        <v>8</v>
      </c>
      <c r="G1252" s="38" t="str">
        <f>HYPERLINK("http://enext.ua/8628-200")</f>
        <v>http://enext.ua/8628-200</v>
      </c>
    </row>
    <row r="1253" spans="2:7" ht="11.25" outlineLevel="4" x14ac:dyDescent="0.2">
      <c r="B1253" s="14" t="s">
        <v>2397</v>
      </c>
      <c r="C1253" s="14" t="s">
        <v>2398</v>
      </c>
      <c r="D1253" s="14">
        <v>1</v>
      </c>
      <c r="E1253" s="15">
        <v>957.01</v>
      </c>
      <c r="F1253" s="16" t="s">
        <v>8</v>
      </c>
      <c r="G1253" s="38" t="str">
        <f>HYPERLINK("http://enext.ua/8818-200")</f>
        <v>http://enext.ua/8818-200</v>
      </c>
    </row>
    <row r="1254" spans="2:7" ht="22.5" outlineLevel="4" x14ac:dyDescent="0.2">
      <c r="B1254" s="14" t="s">
        <v>2399</v>
      </c>
      <c r="C1254" s="14" t="s">
        <v>2400</v>
      </c>
      <c r="D1254" s="14">
        <v>1</v>
      </c>
      <c r="E1254" s="17">
        <v>2231.2399999999998</v>
      </c>
      <c r="F1254" s="16" t="s">
        <v>8</v>
      </c>
      <c r="G1254" s="38" t="str">
        <f>HYPERLINK("http://enext.ua/8838-200")</f>
        <v>http://enext.ua/8838-200</v>
      </c>
    </row>
    <row r="1255" spans="2:7" ht="11.25" outlineLevel="4" x14ac:dyDescent="0.2">
      <c r="B1255" s="14" t="s">
        <v>2401</v>
      </c>
      <c r="C1255" s="14" t="s">
        <v>2402</v>
      </c>
      <c r="D1255" s="14">
        <v>1</v>
      </c>
      <c r="E1255" s="17">
        <v>2568.1999999999998</v>
      </c>
      <c r="F1255" s="16" t="s">
        <v>8</v>
      </c>
      <c r="G1255" s="38" t="str">
        <f>HYPERLINK("http://enext.ua/8828-200")</f>
        <v>http://enext.ua/8828-200</v>
      </c>
    </row>
    <row r="1256" spans="2:7" ht="12" outlineLevel="3" x14ac:dyDescent="0.2">
      <c r="B1256" s="10"/>
      <c r="C1256" s="36" t="s">
        <v>2403</v>
      </c>
      <c r="D1256" s="10"/>
      <c r="E1256" s="11"/>
      <c r="F1256" s="11"/>
      <c r="G1256" s="10"/>
    </row>
    <row r="1257" spans="2:7" ht="11.25" outlineLevel="4" x14ac:dyDescent="0.2">
      <c r="B1257" s="14" t="s">
        <v>2404</v>
      </c>
      <c r="C1257" s="14" t="s">
        <v>2405</v>
      </c>
      <c r="D1257" s="14">
        <v>1</v>
      </c>
      <c r="E1257" s="15">
        <v>430.32</v>
      </c>
      <c r="F1257" s="16" t="s">
        <v>8</v>
      </c>
      <c r="G1257" s="38" t="str">
        <f>HYPERLINK("http://enext.ua/8367-200")</f>
        <v>http://enext.ua/8367-200</v>
      </c>
    </row>
    <row r="1258" spans="2:7" ht="11.25" outlineLevel="4" x14ac:dyDescent="0.2">
      <c r="B1258" s="14" t="s">
        <v>2406</v>
      </c>
      <c r="C1258" s="14" t="s">
        <v>2407</v>
      </c>
      <c r="D1258" s="14">
        <v>1</v>
      </c>
      <c r="E1258" s="15">
        <v>506.88</v>
      </c>
      <c r="F1258" s="16" t="s">
        <v>8</v>
      </c>
      <c r="G1258" s="38" t="str">
        <f>HYPERLINK("http://enext.ua/8317-200")</f>
        <v>http://enext.ua/8317-200</v>
      </c>
    </row>
    <row r="1259" spans="2:7" ht="11.25" outlineLevel="4" x14ac:dyDescent="0.2">
      <c r="B1259" s="14" t="s">
        <v>2408</v>
      </c>
      <c r="C1259" s="14" t="s">
        <v>2409</v>
      </c>
      <c r="D1259" s="14">
        <v>1</v>
      </c>
      <c r="E1259" s="15">
        <v>774.52</v>
      </c>
      <c r="F1259" s="16" t="s">
        <v>8</v>
      </c>
      <c r="G1259" s="38" t="str">
        <f>HYPERLINK("http://enext.ua/8337-200")</f>
        <v>http://enext.ua/8337-200</v>
      </c>
    </row>
    <row r="1260" spans="2:7" ht="11.25" outlineLevel="4" x14ac:dyDescent="0.2">
      <c r="B1260" s="14" t="s">
        <v>2410</v>
      </c>
      <c r="C1260" s="14" t="s">
        <v>2411</v>
      </c>
      <c r="D1260" s="14">
        <v>1</v>
      </c>
      <c r="E1260" s="15">
        <v>886.06</v>
      </c>
      <c r="F1260" s="16" t="s">
        <v>8</v>
      </c>
      <c r="G1260" s="38" t="str">
        <f>HYPERLINK("http://enext.ua/8327-200")</f>
        <v>http://enext.ua/8327-200</v>
      </c>
    </row>
    <row r="1261" spans="2:7" ht="11.25" outlineLevel="4" x14ac:dyDescent="0.2">
      <c r="B1261" s="14" t="s">
        <v>2412</v>
      </c>
      <c r="C1261" s="14" t="s">
        <v>2413</v>
      </c>
      <c r="D1261" s="14">
        <v>1</v>
      </c>
      <c r="E1261" s="15">
        <v>497.32</v>
      </c>
      <c r="F1261" s="16" t="s">
        <v>8</v>
      </c>
      <c r="G1261" s="38" t="str">
        <f>HYPERLINK("http://enext.ua/8467-200")</f>
        <v>http://enext.ua/8467-200</v>
      </c>
    </row>
    <row r="1262" spans="2:7" ht="11.25" outlineLevel="4" x14ac:dyDescent="0.2">
      <c r="B1262" s="14" t="s">
        <v>2414</v>
      </c>
      <c r="C1262" s="14" t="s">
        <v>2415</v>
      </c>
      <c r="D1262" s="14">
        <v>1</v>
      </c>
      <c r="E1262" s="15">
        <v>652.08000000000004</v>
      </c>
      <c r="F1262" s="16" t="s">
        <v>8</v>
      </c>
      <c r="G1262" s="38" t="str">
        <f>HYPERLINK("http://enext.ua/8417-200")</f>
        <v>http://enext.ua/8417-200</v>
      </c>
    </row>
    <row r="1263" spans="2:7" ht="11.25" outlineLevel="4" x14ac:dyDescent="0.2">
      <c r="B1263" s="14" t="s">
        <v>2416</v>
      </c>
      <c r="C1263" s="14" t="s">
        <v>2417</v>
      </c>
      <c r="D1263" s="14">
        <v>1</v>
      </c>
      <c r="E1263" s="15">
        <v>925.66</v>
      </c>
      <c r="F1263" s="16" t="s">
        <v>8</v>
      </c>
      <c r="G1263" s="38" t="str">
        <f>HYPERLINK("http://enext.ua/8437-200")</f>
        <v>http://enext.ua/8437-200</v>
      </c>
    </row>
    <row r="1264" spans="2:7" ht="11.25" outlineLevel="4" x14ac:dyDescent="0.2">
      <c r="B1264" s="14" t="s">
        <v>2418</v>
      </c>
      <c r="C1264" s="14" t="s">
        <v>2419</v>
      </c>
      <c r="D1264" s="14">
        <v>1</v>
      </c>
      <c r="E1264" s="17">
        <v>1039.18</v>
      </c>
      <c r="F1264" s="16" t="s">
        <v>8</v>
      </c>
      <c r="G1264" s="38" t="str">
        <f>HYPERLINK("http://enext.ua/8427-200")</f>
        <v>http://enext.ua/8427-200</v>
      </c>
    </row>
    <row r="1265" spans="2:7" ht="11.25" outlineLevel="4" x14ac:dyDescent="0.2">
      <c r="B1265" s="14" t="s">
        <v>2420</v>
      </c>
      <c r="C1265" s="14" t="s">
        <v>2421</v>
      </c>
      <c r="D1265" s="14">
        <v>1</v>
      </c>
      <c r="E1265" s="15">
        <v>633.87</v>
      </c>
      <c r="F1265" s="16" t="s">
        <v>8</v>
      </c>
      <c r="G1265" s="38" t="str">
        <f>HYPERLINK("http://enext.ua/8667-200")</f>
        <v>http://enext.ua/8667-200</v>
      </c>
    </row>
    <row r="1266" spans="2:7" ht="11.25" outlineLevel="4" x14ac:dyDescent="0.2">
      <c r="B1266" s="14" t="s">
        <v>2422</v>
      </c>
      <c r="C1266" s="14" t="s">
        <v>2423</v>
      </c>
      <c r="D1266" s="14">
        <v>1</v>
      </c>
      <c r="E1266" s="15">
        <v>867.28</v>
      </c>
      <c r="F1266" s="16" t="s">
        <v>8</v>
      </c>
      <c r="G1266" s="38" t="str">
        <f>HYPERLINK("http://enext.ua/8617-200")</f>
        <v>http://enext.ua/8617-200</v>
      </c>
    </row>
    <row r="1267" spans="2:7" ht="11.25" outlineLevel="4" x14ac:dyDescent="0.2">
      <c r="B1267" s="14" t="s">
        <v>2424</v>
      </c>
      <c r="C1267" s="14" t="s">
        <v>2425</v>
      </c>
      <c r="D1267" s="14">
        <v>1</v>
      </c>
      <c r="E1267" s="17">
        <v>1091.1199999999999</v>
      </c>
      <c r="F1267" s="16" t="s">
        <v>8</v>
      </c>
      <c r="G1267" s="38" t="str">
        <f>HYPERLINK("http://enext.ua/8637-200")</f>
        <v>http://enext.ua/8637-200</v>
      </c>
    </row>
    <row r="1268" spans="2:7" ht="11.25" outlineLevel="4" x14ac:dyDescent="0.2">
      <c r="B1268" s="14" t="s">
        <v>2426</v>
      </c>
      <c r="C1268" s="14" t="s">
        <v>2427</v>
      </c>
      <c r="D1268" s="14">
        <v>1</v>
      </c>
      <c r="E1268" s="17">
        <v>1157.06</v>
      </c>
      <c r="F1268" s="16" t="s">
        <v>8</v>
      </c>
      <c r="G1268" s="38" t="str">
        <f>HYPERLINK("http://enext.ua/8627-200")</f>
        <v>http://enext.ua/8627-200</v>
      </c>
    </row>
    <row r="1269" spans="2:7" ht="11.25" outlineLevel="4" x14ac:dyDescent="0.2">
      <c r="B1269" s="14" t="s">
        <v>2428</v>
      </c>
      <c r="C1269" s="14" t="s">
        <v>2429</v>
      </c>
      <c r="D1269" s="14">
        <v>1</v>
      </c>
      <c r="E1269" s="17">
        <v>1007.64</v>
      </c>
      <c r="F1269" s="16" t="s">
        <v>8</v>
      </c>
      <c r="G1269" s="38" t="str">
        <f>HYPERLINK("http://enext.ua/8817-200")</f>
        <v>http://enext.ua/8817-200</v>
      </c>
    </row>
    <row r="1270" spans="2:7" ht="11.25" outlineLevel="4" x14ac:dyDescent="0.2">
      <c r="B1270" s="14" t="s">
        <v>2430</v>
      </c>
      <c r="C1270" s="14" t="s">
        <v>2431</v>
      </c>
      <c r="D1270" s="14">
        <v>1</v>
      </c>
      <c r="E1270" s="17">
        <v>1832.54</v>
      </c>
      <c r="F1270" s="16" t="s">
        <v>8</v>
      </c>
      <c r="G1270" s="38" t="str">
        <f>HYPERLINK("http://enext.ua/8837-200")</f>
        <v>http://enext.ua/8837-200</v>
      </c>
    </row>
    <row r="1271" spans="2:7" ht="11.25" outlineLevel="4" x14ac:dyDescent="0.2">
      <c r="B1271" s="14" t="s">
        <v>2432</v>
      </c>
      <c r="C1271" s="14" t="s">
        <v>2433</v>
      </c>
      <c r="D1271" s="14">
        <v>1</v>
      </c>
      <c r="E1271" s="17">
        <v>1888.82</v>
      </c>
      <c r="F1271" s="16" t="s">
        <v>8</v>
      </c>
      <c r="G1271" s="38" t="str">
        <f>HYPERLINK("http://enext.ua/8827-200")</f>
        <v>http://enext.ua/8827-200</v>
      </c>
    </row>
    <row r="1272" spans="2:7" ht="12" outlineLevel="2" x14ac:dyDescent="0.2">
      <c r="B1272" s="8"/>
      <c r="C1272" s="35" t="s">
        <v>2434</v>
      </c>
      <c r="D1272" s="8"/>
      <c r="E1272" s="9"/>
      <c r="F1272" s="9"/>
      <c r="G1272" s="8"/>
    </row>
    <row r="1273" spans="2:7" ht="11.25" outlineLevel="3" x14ac:dyDescent="0.2">
      <c r="B1273" s="14" t="s">
        <v>2435</v>
      </c>
      <c r="C1273" s="14" t="s">
        <v>2436</v>
      </c>
      <c r="D1273" s="14">
        <v>1</v>
      </c>
      <c r="E1273" s="15">
        <v>183.79</v>
      </c>
      <c r="F1273" s="16" t="s">
        <v>8</v>
      </c>
      <c r="G1273" s="38" t="str">
        <f>HYPERLINK("http://enext.ua/s064001")</f>
        <v>http://enext.ua/s064001</v>
      </c>
    </row>
    <row r="1274" spans="2:7" ht="11.25" outlineLevel="3" x14ac:dyDescent="0.2">
      <c r="B1274" s="14" t="s">
        <v>2437</v>
      </c>
      <c r="C1274" s="14" t="s">
        <v>2438</v>
      </c>
      <c r="D1274" s="14">
        <v>1</v>
      </c>
      <c r="E1274" s="15">
        <v>204.21</v>
      </c>
      <c r="F1274" s="16" t="s">
        <v>8</v>
      </c>
      <c r="G1274" s="38" t="str">
        <f>HYPERLINK("http://enext.ua/s064002")</f>
        <v>http://enext.ua/s064002</v>
      </c>
    </row>
    <row r="1275" spans="2:7" ht="12" outlineLevel="1" x14ac:dyDescent="0.2">
      <c r="B1275" s="6"/>
      <c r="C1275" s="34" t="s">
        <v>2439</v>
      </c>
      <c r="D1275" s="6"/>
      <c r="E1275" s="7"/>
      <c r="F1275" s="7"/>
      <c r="G1275" s="6"/>
    </row>
    <row r="1276" spans="2:7" ht="12" outlineLevel="2" x14ac:dyDescent="0.2">
      <c r="B1276" s="8"/>
      <c r="C1276" s="35" t="s">
        <v>2440</v>
      </c>
      <c r="D1276" s="8"/>
      <c r="E1276" s="9"/>
      <c r="F1276" s="9"/>
      <c r="G1276" s="8"/>
    </row>
    <row r="1277" spans="2:7" ht="11.25" outlineLevel="3" x14ac:dyDescent="0.2">
      <c r="B1277" s="14" t="s">
        <v>2441</v>
      </c>
      <c r="C1277" s="14" t="s">
        <v>2442</v>
      </c>
      <c r="D1277" s="14">
        <v>1</v>
      </c>
      <c r="E1277" s="15">
        <v>335.53</v>
      </c>
      <c r="F1277" s="16" t="s">
        <v>8</v>
      </c>
      <c r="G1277" s="38" t="str">
        <f>HYPERLINK("http://enext.ua/i0310006")</f>
        <v>http://enext.ua/i0310006</v>
      </c>
    </row>
    <row r="1278" spans="2:7" ht="11.25" outlineLevel="3" x14ac:dyDescent="0.2">
      <c r="B1278" s="14" t="s">
        <v>2443</v>
      </c>
      <c r="C1278" s="14" t="s">
        <v>2444</v>
      </c>
      <c r="D1278" s="14">
        <v>1</v>
      </c>
      <c r="E1278" s="15">
        <v>473.55</v>
      </c>
      <c r="F1278" s="16" t="s">
        <v>8</v>
      </c>
      <c r="G1278" s="38" t="str">
        <f>HYPERLINK("http://enext.ua/i0310007")</f>
        <v>http://enext.ua/i0310007</v>
      </c>
    </row>
    <row r="1279" spans="2:7" ht="11.25" outlineLevel="3" x14ac:dyDescent="0.2">
      <c r="B1279" s="14" t="s">
        <v>2445</v>
      </c>
      <c r="C1279" s="14" t="s">
        <v>2446</v>
      </c>
      <c r="D1279" s="14">
        <v>1</v>
      </c>
      <c r="E1279" s="15">
        <v>902</v>
      </c>
      <c r="F1279" s="16" t="s">
        <v>8</v>
      </c>
      <c r="G1279" s="38" t="str">
        <f>HYPERLINK("http://enext.ua/i0310008")</f>
        <v>http://enext.ua/i0310008</v>
      </c>
    </row>
    <row r="1280" spans="2:7" ht="11.25" outlineLevel="3" x14ac:dyDescent="0.2">
      <c r="B1280" s="14" t="s">
        <v>2447</v>
      </c>
      <c r="C1280" s="14" t="s">
        <v>2448</v>
      </c>
      <c r="D1280" s="14">
        <v>1</v>
      </c>
      <c r="E1280" s="15">
        <v>870.82</v>
      </c>
      <c r="F1280" s="16" t="s">
        <v>8</v>
      </c>
      <c r="G1280" s="38" t="str">
        <f>HYPERLINK("http://enext.ua/i0310009")</f>
        <v>http://enext.ua/i0310009</v>
      </c>
    </row>
    <row r="1281" spans="2:7" ht="11.25" outlineLevel="3" x14ac:dyDescent="0.2">
      <c r="B1281" s="14" t="s">
        <v>2449</v>
      </c>
      <c r="C1281" s="14" t="s">
        <v>2450</v>
      </c>
      <c r="D1281" s="14">
        <v>1</v>
      </c>
      <c r="E1281" s="15">
        <v>770.08</v>
      </c>
      <c r="F1281" s="16" t="s">
        <v>8</v>
      </c>
      <c r="G1281" s="38" t="str">
        <f>HYPERLINK("http://enext.ua/p0690004")</f>
        <v>http://enext.ua/p0690004</v>
      </c>
    </row>
    <row r="1282" spans="2:7" ht="11.25" outlineLevel="3" x14ac:dyDescent="0.2">
      <c r="B1282" s="14" t="s">
        <v>2451</v>
      </c>
      <c r="C1282" s="14" t="s">
        <v>2452</v>
      </c>
      <c r="D1282" s="14">
        <v>1</v>
      </c>
      <c r="E1282" s="17">
        <v>1316.14</v>
      </c>
      <c r="F1282" s="16" t="s">
        <v>8</v>
      </c>
      <c r="G1282" s="38" t="str">
        <f>HYPERLINK("http://enext.ua/p0690005")</f>
        <v>http://enext.ua/p0690005</v>
      </c>
    </row>
    <row r="1283" spans="2:7" ht="11.25" outlineLevel="3" x14ac:dyDescent="0.2">
      <c r="B1283" s="14" t="s">
        <v>2453</v>
      </c>
      <c r="C1283" s="14" t="s">
        <v>2454</v>
      </c>
      <c r="D1283" s="14">
        <v>1</v>
      </c>
      <c r="E1283" s="15">
        <v>684.08</v>
      </c>
      <c r="F1283" s="16" t="s">
        <v>8</v>
      </c>
      <c r="G1283" s="38" t="str">
        <f>HYPERLINK("http://enext.ua/i0310011")</f>
        <v>http://enext.ua/i0310011</v>
      </c>
    </row>
    <row r="1284" spans="2:7" ht="11.25" outlineLevel="3" x14ac:dyDescent="0.2">
      <c r="B1284" s="14" t="s">
        <v>2455</v>
      </c>
      <c r="C1284" s="14" t="s">
        <v>2456</v>
      </c>
      <c r="D1284" s="14">
        <v>1</v>
      </c>
      <c r="E1284" s="17">
        <v>1026.81</v>
      </c>
      <c r="F1284" s="16" t="s">
        <v>8</v>
      </c>
      <c r="G1284" s="38" t="str">
        <f>HYPERLINK("http://enext.ua/i0310012")</f>
        <v>http://enext.ua/i0310012</v>
      </c>
    </row>
    <row r="1285" spans="2:7" ht="11.25" outlineLevel="3" x14ac:dyDescent="0.2">
      <c r="B1285" s="14" t="s">
        <v>2457</v>
      </c>
      <c r="C1285" s="14" t="s">
        <v>2458</v>
      </c>
      <c r="D1285" s="14">
        <v>1</v>
      </c>
      <c r="E1285" s="17">
        <v>1137.69</v>
      </c>
      <c r="F1285" s="16" t="s">
        <v>8</v>
      </c>
      <c r="G1285" s="38" t="str">
        <f>HYPERLINK("http://enext.ua/i0310013")</f>
        <v>http://enext.ua/i0310013</v>
      </c>
    </row>
    <row r="1286" spans="2:7" ht="11.25" outlineLevel="3" x14ac:dyDescent="0.2">
      <c r="B1286" s="14" t="s">
        <v>2459</v>
      </c>
      <c r="C1286" s="14" t="s">
        <v>2460</v>
      </c>
      <c r="D1286" s="14">
        <v>1</v>
      </c>
      <c r="E1286" s="15">
        <v>361.1</v>
      </c>
      <c r="F1286" s="16" t="s">
        <v>8</v>
      </c>
      <c r="G1286" s="38" t="str">
        <f>HYPERLINK("http://enext.ua/i0310027")</f>
        <v>http://enext.ua/i0310027</v>
      </c>
    </row>
    <row r="1287" spans="2:7" ht="11.25" outlineLevel="3" x14ac:dyDescent="0.2">
      <c r="B1287" s="14" t="s">
        <v>2461</v>
      </c>
      <c r="C1287" s="14" t="s">
        <v>2462</v>
      </c>
      <c r="D1287" s="14">
        <v>1</v>
      </c>
      <c r="E1287" s="15">
        <v>361.1</v>
      </c>
      <c r="F1287" s="16" t="s">
        <v>8</v>
      </c>
      <c r="G1287" s="38" t="str">
        <f>HYPERLINK("http://enext.ua/i0310028")</f>
        <v>http://enext.ua/i0310028</v>
      </c>
    </row>
    <row r="1288" spans="2:7" ht="11.25" outlineLevel="3" x14ac:dyDescent="0.2">
      <c r="B1288" s="14" t="s">
        <v>2463</v>
      </c>
      <c r="C1288" s="14" t="s">
        <v>2464</v>
      </c>
      <c r="D1288" s="14">
        <v>1</v>
      </c>
      <c r="E1288" s="15">
        <v>617.62</v>
      </c>
      <c r="F1288" s="16" t="s">
        <v>8</v>
      </c>
      <c r="G1288" s="38" t="str">
        <f>HYPERLINK("http://enext.ua/i0310029")</f>
        <v>http://enext.ua/i0310029</v>
      </c>
    </row>
    <row r="1289" spans="2:7" ht="11.25" outlineLevel="3" x14ac:dyDescent="0.2">
      <c r="B1289" s="14" t="s">
        <v>2465</v>
      </c>
      <c r="C1289" s="14" t="s">
        <v>2466</v>
      </c>
      <c r="D1289" s="14">
        <v>1</v>
      </c>
      <c r="E1289" s="15">
        <v>779.11</v>
      </c>
      <c r="F1289" s="16" t="s">
        <v>8</v>
      </c>
      <c r="G1289" s="38" t="str">
        <f>HYPERLINK("http://enext.ua/i0310030")</f>
        <v>http://enext.ua/i0310030</v>
      </c>
    </row>
    <row r="1290" spans="2:7" ht="12" outlineLevel="2" x14ac:dyDescent="0.2">
      <c r="B1290" s="8"/>
      <c r="C1290" s="35" t="s">
        <v>2467</v>
      </c>
      <c r="D1290" s="8"/>
      <c r="E1290" s="9"/>
      <c r="F1290" s="9"/>
      <c r="G1290" s="8"/>
    </row>
    <row r="1291" spans="2:7" ht="11.25" outlineLevel="3" x14ac:dyDescent="0.2">
      <c r="B1291" s="14" t="s">
        <v>2468</v>
      </c>
      <c r="C1291" s="14" t="s">
        <v>2469</v>
      </c>
      <c r="D1291" s="14">
        <v>1</v>
      </c>
      <c r="E1291" s="15">
        <v>322.06</v>
      </c>
      <c r="F1291" s="16" t="s">
        <v>8</v>
      </c>
      <c r="G1291" s="38" t="str">
        <f>HYPERLINK("http://enext.ua/p0690017")</f>
        <v>http://enext.ua/p0690017</v>
      </c>
    </row>
    <row r="1292" spans="2:7" ht="11.25" outlineLevel="3" x14ac:dyDescent="0.2">
      <c r="B1292" s="14" t="s">
        <v>2470</v>
      </c>
      <c r="C1292" s="14" t="s">
        <v>2471</v>
      </c>
      <c r="D1292" s="14">
        <v>1</v>
      </c>
      <c r="E1292" s="15">
        <v>770.11</v>
      </c>
      <c r="F1292" s="16" t="s">
        <v>8</v>
      </c>
      <c r="G1292" s="38" t="str">
        <f>HYPERLINK("http://enext.ua/p0690006")</f>
        <v>http://enext.ua/p0690006</v>
      </c>
    </row>
    <row r="1293" spans="2:7" ht="11.25" outlineLevel="3" x14ac:dyDescent="0.2">
      <c r="B1293" s="14" t="s">
        <v>2472</v>
      </c>
      <c r="C1293" s="14" t="s">
        <v>2473</v>
      </c>
      <c r="D1293" s="14">
        <v>1</v>
      </c>
      <c r="E1293" s="15">
        <v>825.26</v>
      </c>
      <c r="F1293" s="16" t="s">
        <v>8</v>
      </c>
      <c r="G1293" s="38" t="str">
        <f>HYPERLINK("http://enext.ua/p0690007")</f>
        <v>http://enext.ua/p0690007</v>
      </c>
    </row>
    <row r="1294" spans="2:7" ht="11.25" outlineLevel="3" x14ac:dyDescent="0.2">
      <c r="B1294" s="14" t="s">
        <v>2474</v>
      </c>
      <c r="C1294" s="14" t="s">
        <v>2475</v>
      </c>
      <c r="D1294" s="14">
        <v>1</v>
      </c>
      <c r="E1294" s="15">
        <v>763.46</v>
      </c>
      <c r="F1294" s="16" t="s">
        <v>8</v>
      </c>
      <c r="G1294" s="38" t="str">
        <f>HYPERLINK("http://enext.ua/p0690008")</f>
        <v>http://enext.ua/p0690008</v>
      </c>
    </row>
    <row r="1295" spans="2:7" ht="11.25" outlineLevel="3" x14ac:dyDescent="0.2">
      <c r="B1295" s="14" t="s">
        <v>2476</v>
      </c>
      <c r="C1295" s="14" t="s">
        <v>2477</v>
      </c>
      <c r="D1295" s="14">
        <v>1</v>
      </c>
      <c r="E1295" s="15">
        <v>429.96</v>
      </c>
      <c r="F1295" s="16" t="s">
        <v>8</v>
      </c>
      <c r="G1295" s="38" t="str">
        <f>HYPERLINK("http://enext.ua/p0690020")</f>
        <v>http://enext.ua/p0690020</v>
      </c>
    </row>
    <row r="1296" spans="2:7" ht="11.25" outlineLevel="3" x14ac:dyDescent="0.2">
      <c r="B1296" s="14" t="s">
        <v>2478</v>
      </c>
      <c r="C1296" s="14" t="s">
        <v>2479</v>
      </c>
      <c r="D1296" s="14">
        <v>1</v>
      </c>
      <c r="E1296" s="15">
        <v>715.82</v>
      </c>
      <c r="F1296" s="16" t="s">
        <v>8</v>
      </c>
      <c r="G1296" s="38" t="str">
        <f>HYPERLINK("http://enext.ua/p0690021")</f>
        <v>http://enext.ua/p0690021</v>
      </c>
    </row>
    <row r="1297" spans="2:7" ht="11.25" outlineLevel="3" x14ac:dyDescent="0.2">
      <c r="B1297" s="14" t="s">
        <v>2480</v>
      </c>
      <c r="C1297" s="14" t="s">
        <v>2481</v>
      </c>
      <c r="D1297" s="14">
        <v>1</v>
      </c>
      <c r="E1297" s="17">
        <v>1245.4000000000001</v>
      </c>
      <c r="F1297" s="16" t="s">
        <v>8</v>
      </c>
      <c r="G1297" s="38" t="str">
        <f>HYPERLINK("http://enext.ua/p0690011")</f>
        <v>http://enext.ua/p0690011</v>
      </c>
    </row>
    <row r="1298" spans="2:7" ht="11.25" outlineLevel="3" x14ac:dyDescent="0.2">
      <c r="B1298" s="14" t="s">
        <v>2482</v>
      </c>
      <c r="C1298" s="14" t="s">
        <v>2483</v>
      </c>
      <c r="D1298" s="14">
        <v>1</v>
      </c>
      <c r="E1298" s="15">
        <v>532.99</v>
      </c>
      <c r="F1298" s="16" t="s">
        <v>8</v>
      </c>
      <c r="G1298" s="38" t="str">
        <f>HYPERLINK("http://enext.ua/p0690013")</f>
        <v>http://enext.ua/p0690013</v>
      </c>
    </row>
    <row r="1299" spans="2:7" ht="11.25" outlineLevel="3" x14ac:dyDescent="0.2">
      <c r="B1299" s="14" t="s">
        <v>2484</v>
      </c>
      <c r="C1299" s="14" t="s">
        <v>2485</v>
      </c>
      <c r="D1299" s="14">
        <v>1</v>
      </c>
      <c r="E1299" s="15">
        <v>634.52</v>
      </c>
      <c r="F1299" s="16" t="s">
        <v>8</v>
      </c>
      <c r="G1299" s="38" t="str">
        <f>HYPERLINK("http://enext.ua/p0690014")</f>
        <v>http://enext.ua/p0690014</v>
      </c>
    </row>
    <row r="1300" spans="2:7" ht="11.25" outlineLevel="3" x14ac:dyDescent="0.2">
      <c r="B1300" s="14" t="s">
        <v>2486</v>
      </c>
      <c r="C1300" s="14" t="s">
        <v>2487</v>
      </c>
      <c r="D1300" s="14">
        <v>1</v>
      </c>
      <c r="E1300" s="15">
        <v>593.26</v>
      </c>
      <c r="F1300" s="16" t="s">
        <v>8</v>
      </c>
      <c r="G1300" s="38" t="str">
        <f>HYPERLINK("http://enext.ua/p0690015")</f>
        <v>http://enext.ua/p0690015</v>
      </c>
    </row>
    <row r="1301" spans="2:7" ht="11.25" outlineLevel="3" x14ac:dyDescent="0.2">
      <c r="B1301" s="14" t="s">
        <v>2488</v>
      </c>
      <c r="C1301" s="14" t="s">
        <v>2489</v>
      </c>
      <c r="D1301" s="14">
        <v>1</v>
      </c>
      <c r="E1301" s="17">
        <v>1146.73</v>
      </c>
      <c r="F1301" s="16" t="s">
        <v>8</v>
      </c>
      <c r="G1301" s="38" t="str">
        <f>HYPERLINK("http://enext.ua/p0690016")</f>
        <v>http://enext.ua/p0690016</v>
      </c>
    </row>
    <row r="1302" spans="2:7" ht="11.25" outlineLevel="3" x14ac:dyDescent="0.2">
      <c r="B1302" s="14" t="s">
        <v>2490</v>
      </c>
      <c r="C1302" s="14" t="s">
        <v>2491</v>
      </c>
      <c r="D1302" s="14">
        <v>1</v>
      </c>
      <c r="E1302" s="15">
        <v>245.73</v>
      </c>
      <c r="F1302" s="16" t="s">
        <v>8</v>
      </c>
      <c r="G1302" s="38" t="str">
        <f>HYPERLINK("http://enext.ua/i0620001")</f>
        <v>http://enext.ua/i0620001</v>
      </c>
    </row>
    <row r="1303" spans="2:7" ht="12" outlineLevel="2" x14ac:dyDescent="0.2">
      <c r="B1303" s="8"/>
      <c r="C1303" s="35" t="s">
        <v>2492</v>
      </c>
      <c r="D1303" s="8"/>
      <c r="E1303" s="9"/>
      <c r="F1303" s="9"/>
      <c r="G1303" s="8"/>
    </row>
    <row r="1304" spans="2:7" ht="11.25" outlineLevel="3" x14ac:dyDescent="0.2">
      <c r="B1304" s="14" t="s">
        <v>2493</v>
      </c>
      <c r="C1304" s="14" t="s">
        <v>2494</v>
      </c>
      <c r="D1304" s="14">
        <v>1</v>
      </c>
      <c r="E1304" s="15">
        <v>701.38</v>
      </c>
      <c r="F1304" s="16" t="s">
        <v>8</v>
      </c>
      <c r="G1304" s="38" t="str">
        <f>HYPERLINK("http://enext.ua/p0690001")</f>
        <v>http://enext.ua/p0690001</v>
      </c>
    </row>
    <row r="1305" spans="2:7" ht="11.25" outlineLevel="3" x14ac:dyDescent="0.2">
      <c r="B1305" s="14" t="s">
        <v>2495</v>
      </c>
      <c r="C1305" s="14" t="s">
        <v>2496</v>
      </c>
      <c r="D1305" s="14">
        <v>1</v>
      </c>
      <c r="E1305" s="17">
        <v>1092.6400000000001</v>
      </c>
      <c r="F1305" s="16" t="s">
        <v>8</v>
      </c>
      <c r="G1305" s="38" t="str">
        <f>HYPERLINK("http://enext.ua/p0690002")</f>
        <v>http://enext.ua/p0690002</v>
      </c>
    </row>
    <row r="1306" spans="2:7" ht="11.25" outlineLevel="3" x14ac:dyDescent="0.2">
      <c r="B1306" s="14" t="s">
        <v>2497</v>
      </c>
      <c r="C1306" s="14" t="s">
        <v>2498</v>
      </c>
      <c r="D1306" s="14">
        <v>1</v>
      </c>
      <c r="E1306" s="17">
        <v>1092.6400000000001</v>
      </c>
      <c r="F1306" s="16" t="s">
        <v>8</v>
      </c>
      <c r="G1306" s="38" t="str">
        <f>HYPERLINK("http://enext.ua/p0690003")</f>
        <v>http://enext.ua/p0690003</v>
      </c>
    </row>
    <row r="1307" spans="2:7" ht="11.25" outlineLevel="3" x14ac:dyDescent="0.2">
      <c r="B1307" s="14" t="s">
        <v>2499</v>
      </c>
      <c r="C1307" s="14" t="s">
        <v>2500</v>
      </c>
      <c r="D1307" s="14">
        <v>1</v>
      </c>
      <c r="E1307" s="15">
        <v>460.09</v>
      </c>
      <c r="F1307" s="16" t="s">
        <v>8</v>
      </c>
      <c r="G1307" s="38" t="str">
        <f>HYPERLINK("http://enext.ua/p0690018")</f>
        <v>http://enext.ua/p0690018</v>
      </c>
    </row>
    <row r="1308" spans="2:7" ht="11.25" outlineLevel="3" x14ac:dyDescent="0.2">
      <c r="B1308" s="14" t="s">
        <v>2501</v>
      </c>
      <c r="C1308" s="14" t="s">
        <v>2502</v>
      </c>
      <c r="D1308" s="14">
        <v>1</v>
      </c>
      <c r="E1308" s="15">
        <v>469.29</v>
      </c>
      <c r="F1308" s="16" t="s">
        <v>8</v>
      </c>
      <c r="G1308" s="38" t="str">
        <f>HYPERLINK("http://enext.ua/p0690019")</f>
        <v>http://enext.ua/p0690019</v>
      </c>
    </row>
    <row r="1309" spans="2:7" ht="12" outlineLevel="2" x14ac:dyDescent="0.2">
      <c r="B1309" s="8"/>
      <c r="C1309" s="35" t="s">
        <v>2503</v>
      </c>
      <c r="D1309" s="8"/>
      <c r="E1309" s="9"/>
      <c r="F1309" s="9"/>
      <c r="G1309" s="8"/>
    </row>
    <row r="1310" spans="2:7" ht="11.25" outlineLevel="3" x14ac:dyDescent="0.2">
      <c r="B1310" s="14" t="s">
        <v>2504</v>
      </c>
      <c r="C1310" s="14" t="s">
        <v>2505</v>
      </c>
      <c r="D1310" s="14">
        <v>1</v>
      </c>
      <c r="E1310" s="15">
        <v>671.06</v>
      </c>
      <c r="F1310" s="16" t="s">
        <v>8</v>
      </c>
      <c r="G1310" s="38" t="str">
        <f>HYPERLINK("http://enext.ua/i0310025")</f>
        <v>http://enext.ua/i0310025</v>
      </c>
    </row>
    <row r="1311" spans="2:7" ht="11.25" outlineLevel="3" x14ac:dyDescent="0.2">
      <c r="B1311" s="14" t="s">
        <v>2506</v>
      </c>
      <c r="C1311" s="14" t="s">
        <v>2507</v>
      </c>
      <c r="D1311" s="14">
        <v>1</v>
      </c>
      <c r="E1311" s="15">
        <v>671.06</v>
      </c>
      <c r="F1311" s="16" t="s">
        <v>8</v>
      </c>
      <c r="G1311" s="38" t="str">
        <f>HYPERLINK("http://enext.ua/i0310026")</f>
        <v>http://enext.ua/i0310026</v>
      </c>
    </row>
    <row r="1312" spans="2:7" ht="12" outlineLevel="2" x14ac:dyDescent="0.2">
      <c r="B1312" s="8"/>
      <c r="C1312" s="35" t="s">
        <v>2508</v>
      </c>
      <c r="D1312" s="8"/>
      <c r="E1312" s="9"/>
      <c r="F1312" s="9"/>
      <c r="G1312" s="8"/>
    </row>
    <row r="1313" spans="2:7" ht="11.25" outlineLevel="3" x14ac:dyDescent="0.2">
      <c r="B1313" s="14" t="s">
        <v>2509</v>
      </c>
      <c r="C1313" s="14" t="s">
        <v>2510</v>
      </c>
      <c r="D1313" s="14">
        <v>1</v>
      </c>
      <c r="E1313" s="15">
        <v>410.03</v>
      </c>
      <c r="F1313" s="16" t="s">
        <v>8</v>
      </c>
      <c r="G1313" s="38" t="str">
        <f>HYPERLINK("http://enext.ua/i0310014")</f>
        <v>http://enext.ua/i0310014</v>
      </c>
    </row>
    <row r="1314" spans="2:7" ht="12" outlineLevel="2" x14ac:dyDescent="0.2">
      <c r="B1314" s="8"/>
      <c r="C1314" s="35" t="s">
        <v>2511</v>
      </c>
      <c r="D1314" s="8"/>
      <c r="E1314" s="9"/>
      <c r="F1314" s="9"/>
      <c r="G1314" s="8"/>
    </row>
    <row r="1315" spans="2:7" ht="11.25" outlineLevel="3" x14ac:dyDescent="0.2">
      <c r="B1315" s="14" t="s">
        <v>2512</v>
      </c>
      <c r="C1315" s="14" t="s">
        <v>2513</v>
      </c>
      <c r="D1315" s="14">
        <v>1</v>
      </c>
      <c r="E1315" s="15">
        <v>403.68</v>
      </c>
      <c r="F1315" s="16" t="s">
        <v>8</v>
      </c>
      <c r="G1315" s="38" t="str">
        <f>HYPERLINK("http://enext.ua/i0310015")</f>
        <v>http://enext.ua/i0310015</v>
      </c>
    </row>
    <row r="1316" spans="2:7" ht="12" outlineLevel="2" x14ac:dyDescent="0.2">
      <c r="B1316" s="8"/>
      <c r="C1316" s="35" t="s">
        <v>2514</v>
      </c>
      <c r="D1316" s="8"/>
      <c r="E1316" s="9"/>
      <c r="F1316" s="9"/>
      <c r="G1316" s="8"/>
    </row>
    <row r="1317" spans="2:7" ht="11.25" outlineLevel="3" x14ac:dyDescent="0.2">
      <c r="B1317" s="14" t="s">
        <v>2515</v>
      </c>
      <c r="C1317" s="14" t="s">
        <v>2516</v>
      </c>
      <c r="D1317" s="14">
        <v>1</v>
      </c>
      <c r="E1317" s="15">
        <v>705.71</v>
      </c>
      <c r="F1317" s="16" t="s">
        <v>8</v>
      </c>
      <c r="G1317" s="38" t="str">
        <f>HYPERLINK("http://enext.ua/i0310016")</f>
        <v>http://enext.ua/i0310016</v>
      </c>
    </row>
    <row r="1318" spans="2:7" ht="11.25" outlineLevel="3" x14ac:dyDescent="0.2">
      <c r="B1318" s="14" t="s">
        <v>2517</v>
      </c>
      <c r="C1318" s="14" t="s">
        <v>2518</v>
      </c>
      <c r="D1318" s="14">
        <v>1</v>
      </c>
      <c r="E1318" s="17">
        <v>1008.04</v>
      </c>
      <c r="F1318" s="16" t="s">
        <v>8</v>
      </c>
      <c r="G1318" s="38" t="str">
        <f>HYPERLINK("http://enext.ua/i0310017")</f>
        <v>http://enext.ua/i0310017</v>
      </c>
    </row>
    <row r="1319" spans="2:7" ht="12" outlineLevel="2" x14ac:dyDescent="0.2">
      <c r="B1319" s="8"/>
      <c r="C1319" s="35" t="s">
        <v>2519</v>
      </c>
      <c r="D1319" s="8"/>
      <c r="E1319" s="9"/>
      <c r="F1319" s="9"/>
      <c r="G1319" s="8"/>
    </row>
    <row r="1320" spans="2:7" ht="11.25" outlineLevel="3" x14ac:dyDescent="0.2">
      <c r="B1320" s="14" t="s">
        <v>2520</v>
      </c>
      <c r="C1320" s="14" t="s">
        <v>2521</v>
      </c>
      <c r="D1320" s="14">
        <v>12</v>
      </c>
      <c r="E1320" s="15">
        <v>573.76</v>
      </c>
      <c r="F1320" s="16" t="s">
        <v>8</v>
      </c>
      <c r="G1320" s="38" t="str">
        <f>HYPERLINK("http://enext.ua/i0310024")</f>
        <v>http://enext.ua/i0310024</v>
      </c>
    </row>
    <row r="1321" spans="2:7" ht="11.25" outlineLevel="3" x14ac:dyDescent="0.2">
      <c r="B1321" s="14" t="s">
        <v>2522</v>
      </c>
      <c r="C1321" s="14" t="s">
        <v>2523</v>
      </c>
      <c r="D1321" s="14">
        <v>1</v>
      </c>
      <c r="E1321" s="15">
        <v>144.38</v>
      </c>
      <c r="F1321" s="16" t="s">
        <v>8</v>
      </c>
      <c r="G1321" s="38" t="str">
        <f>HYPERLINK("http://enext.ua/i0310018")</f>
        <v>http://enext.ua/i0310018</v>
      </c>
    </row>
    <row r="1322" spans="2:7" ht="11.25" outlineLevel="3" x14ac:dyDescent="0.2">
      <c r="B1322" s="14" t="s">
        <v>2524</v>
      </c>
      <c r="C1322" s="14" t="s">
        <v>2525</v>
      </c>
      <c r="D1322" s="14">
        <v>1</v>
      </c>
      <c r="E1322" s="15">
        <v>160.55000000000001</v>
      </c>
      <c r="F1322" s="16" t="s">
        <v>8</v>
      </c>
      <c r="G1322" s="38" t="str">
        <f>HYPERLINK("http://enext.ua/i0310019")</f>
        <v>http://enext.ua/i0310019</v>
      </c>
    </row>
    <row r="1323" spans="2:7" ht="11.25" outlineLevel="3" x14ac:dyDescent="0.2">
      <c r="B1323" s="14" t="s">
        <v>2526</v>
      </c>
      <c r="C1323" s="14" t="s">
        <v>2527</v>
      </c>
      <c r="D1323" s="14">
        <v>1</v>
      </c>
      <c r="E1323" s="15">
        <v>271.95</v>
      </c>
      <c r="F1323" s="16" t="s">
        <v>8</v>
      </c>
      <c r="G1323" s="38" t="str">
        <f>HYPERLINK("http://enext.ua/i0310020")</f>
        <v>http://enext.ua/i0310020</v>
      </c>
    </row>
    <row r="1324" spans="2:7" ht="11.25" outlineLevel="3" x14ac:dyDescent="0.2">
      <c r="B1324" s="14" t="s">
        <v>2528</v>
      </c>
      <c r="C1324" s="14" t="s">
        <v>2529</v>
      </c>
      <c r="D1324" s="14">
        <v>1</v>
      </c>
      <c r="E1324" s="15">
        <v>290.22000000000003</v>
      </c>
      <c r="F1324" s="16" t="s">
        <v>8</v>
      </c>
      <c r="G1324" s="38" t="str">
        <f>HYPERLINK("http://enext.ua/i0310021")</f>
        <v>http://enext.ua/i0310021</v>
      </c>
    </row>
    <row r="1325" spans="2:7" ht="11.25" outlineLevel="3" x14ac:dyDescent="0.2">
      <c r="B1325" s="14" t="s">
        <v>2530</v>
      </c>
      <c r="C1325" s="14" t="s">
        <v>2531</v>
      </c>
      <c r="D1325" s="14">
        <v>1</v>
      </c>
      <c r="E1325" s="15">
        <v>460.85</v>
      </c>
      <c r="F1325" s="16" t="s">
        <v>8</v>
      </c>
      <c r="G1325" s="38" t="str">
        <f>HYPERLINK("http://enext.ua/i0310022")</f>
        <v>http://enext.ua/i0310022</v>
      </c>
    </row>
    <row r="1326" spans="2:7" ht="11.25" outlineLevel="3" x14ac:dyDescent="0.2">
      <c r="B1326" s="14" t="s">
        <v>2532</v>
      </c>
      <c r="C1326" s="14" t="s">
        <v>2533</v>
      </c>
      <c r="D1326" s="14">
        <v>10</v>
      </c>
      <c r="E1326" s="15">
        <v>671.06</v>
      </c>
      <c r="F1326" s="16" t="s">
        <v>8</v>
      </c>
      <c r="G1326" s="38" t="str">
        <f>HYPERLINK("http://enext.ua/i0310023")</f>
        <v>http://enext.ua/i0310023</v>
      </c>
    </row>
    <row r="1327" spans="2:7" ht="12" outlineLevel="2" x14ac:dyDescent="0.2">
      <c r="B1327" s="8"/>
      <c r="C1327" s="35" t="s">
        <v>2534</v>
      </c>
      <c r="D1327" s="8"/>
      <c r="E1327" s="9"/>
      <c r="F1327" s="9"/>
      <c r="G1327" s="8"/>
    </row>
    <row r="1328" spans="2:7" ht="11.25" outlineLevel="3" x14ac:dyDescent="0.2">
      <c r="B1328" s="14" t="s">
        <v>2535</v>
      </c>
      <c r="C1328" s="14" t="s">
        <v>2536</v>
      </c>
      <c r="D1328" s="14">
        <v>1</v>
      </c>
      <c r="E1328" s="17">
        <v>2051.73</v>
      </c>
      <c r="F1328" s="16" t="s">
        <v>8</v>
      </c>
      <c r="G1328" s="38" t="str">
        <f>HYPERLINK("http://enext.ua/i0640008")</f>
        <v>http://enext.ua/i0640008</v>
      </c>
    </row>
    <row r="1329" spans="2:7" ht="22.5" outlineLevel="3" x14ac:dyDescent="0.2">
      <c r="B1329" s="14" t="s">
        <v>2537</v>
      </c>
      <c r="C1329" s="14" t="s">
        <v>2538</v>
      </c>
      <c r="D1329" s="14">
        <v>1</v>
      </c>
      <c r="E1329" s="17">
        <v>2163.9299999999998</v>
      </c>
      <c r="F1329" s="16" t="s">
        <v>8</v>
      </c>
      <c r="G1329" s="38" t="str">
        <f>HYPERLINK("http://enext.ua/i0640009")</f>
        <v>http://enext.ua/i0640009</v>
      </c>
    </row>
    <row r="1330" spans="2:7" ht="11.25" outlineLevel="3" x14ac:dyDescent="0.2">
      <c r="B1330" s="14" t="s">
        <v>2539</v>
      </c>
      <c r="C1330" s="14" t="s">
        <v>2540</v>
      </c>
      <c r="D1330" s="14">
        <v>1</v>
      </c>
      <c r="E1330" s="17">
        <v>1428.04</v>
      </c>
      <c r="F1330" s="16" t="s">
        <v>8</v>
      </c>
      <c r="G1330" s="38" t="str">
        <f>HYPERLINK("http://enext.ua/i0640006")</f>
        <v>http://enext.ua/i0640006</v>
      </c>
    </row>
    <row r="1331" spans="2:7" ht="11.25" outlineLevel="3" x14ac:dyDescent="0.2">
      <c r="B1331" s="14" t="s">
        <v>2541</v>
      </c>
      <c r="C1331" s="14" t="s">
        <v>2542</v>
      </c>
      <c r="D1331" s="14">
        <v>1</v>
      </c>
      <c r="E1331" s="17">
        <v>2030.38</v>
      </c>
      <c r="F1331" s="16" t="s">
        <v>8</v>
      </c>
      <c r="G1331" s="38" t="str">
        <f>HYPERLINK("http://enext.ua/i0640007")</f>
        <v>http://enext.ua/i0640007</v>
      </c>
    </row>
    <row r="1332" spans="2:7" ht="11.25" outlineLevel="3" x14ac:dyDescent="0.2">
      <c r="B1332" s="14" t="s">
        <v>2543</v>
      </c>
      <c r="C1332" s="14" t="s">
        <v>2544</v>
      </c>
      <c r="D1332" s="14">
        <v>1</v>
      </c>
      <c r="E1332" s="17">
        <v>1127.95</v>
      </c>
      <c r="F1332" s="16" t="s">
        <v>8</v>
      </c>
      <c r="G1332" s="38" t="str">
        <f>HYPERLINK("http://enext.ua/i0640004")</f>
        <v>http://enext.ua/i0640004</v>
      </c>
    </row>
    <row r="1333" spans="2:7" ht="11.25" outlineLevel="3" x14ac:dyDescent="0.2">
      <c r="B1333" s="14" t="s">
        <v>2545</v>
      </c>
      <c r="C1333" s="14" t="s">
        <v>2546</v>
      </c>
      <c r="D1333" s="14">
        <v>1</v>
      </c>
      <c r="E1333" s="15">
        <v>994.84</v>
      </c>
      <c r="F1333" s="16" t="s">
        <v>8</v>
      </c>
      <c r="G1333" s="38" t="str">
        <f>HYPERLINK("http://enext.ua/i0640005")</f>
        <v>http://enext.ua/i0640005</v>
      </c>
    </row>
    <row r="1334" spans="2:7" ht="11.25" outlineLevel="3" x14ac:dyDescent="0.2">
      <c r="B1334" s="14" t="s">
        <v>2547</v>
      </c>
      <c r="C1334" s="14" t="s">
        <v>2548</v>
      </c>
      <c r="D1334" s="14">
        <v>1</v>
      </c>
      <c r="E1334" s="15">
        <v>254.11</v>
      </c>
      <c r="F1334" s="16" t="s">
        <v>8</v>
      </c>
      <c r="G1334" s="38" t="str">
        <f>HYPERLINK("http://enext.ua/i0640001")</f>
        <v>http://enext.ua/i0640001</v>
      </c>
    </row>
    <row r="1335" spans="2:7" ht="11.25" outlineLevel="3" x14ac:dyDescent="0.2">
      <c r="B1335" s="14" t="s">
        <v>2549</v>
      </c>
      <c r="C1335" s="14" t="s">
        <v>2550</v>
      </c>
      <c r="D1335" s="14">
        <v>1</v>
      </c>
      <c r="E1335" s="15">
        <v>489.49</v>
      </c>
      <c r="F1335" s="16" t="s">
        <v>8</v>
      </c>
      <c r="G1335" s="38" t="str">
        <f>HYPERLINK("http://enext.ua/i0640002")</f>
        <v>http://enext.ua/i0640002</v>
      </c>
    </row>
    <row r="1336" spans="2:7" ht="11.25" outlineLevel="3" x14ac:dyDescent="0.2">
      <c r="B1336" s="14" t="s">
        <v>2551</v>
      </c>
      <c r="C1336" s="14" t="s">
        <v>2552</v>
      </c>
      <c r="D1336" s="14">
        <v>1</v>
      </c>
      <c r="E1336" s="15">
        <v>502.49</v>
      </c>
      <c r="F1336" s="16" t="s">
        <v>8</v>
      </c>
      <c r="G1336" s="38" t="str">
        <f>HYPERLINK("http://enext.ua/i0640003")</f>
        <v>http://enext.ua/i0640003</v>
      </c>
    </row>
    <row r="1337" spans="2:7" ht="12" outlineLevel="1" x14ac:dyDescent="0.2">
      <c r="B1337" s="6"/>
      <c r="C1337" s="34" t="s">
        <v>2553</v>
      </c>
      <c r="D1337" s="6"/>
      <c r="E1337" s="7"/>
      <c r="F1337" s="7"/>
      <c r="G1337" s="6"/>
    </row>
    <row r="1338" spans="2:7" ht="12" outlineLevel="2" x14ac:dyDescent="0.2">
      <c r="B1338" s="8"/>
      <c r="C1338" s="35" t="s">
        <v>2554</v>
      </c>
      <c r="D1338" s="8"/>
      <c r="E1338" s="9"/>
      <c r="F1338" s="9"/>
      <c r="G1338" s="8"/>
    </row>
    <row r="1339" spans="2:7" ht="12" outlineLevel="3" x14ac:dyDescent="0.2">
      <c r="B1339" s="10"/>
      <c r="C1339" s="36" t="s">
        <v>2555</v>
      </c>
      <c r="D1339" s="10"/>
      <c r="E1339" s="11"/>
      <c r="F1339" s="11"/>
      <c r="G1339" s="10"/>
    </row>
    <row r="1340" spans="2:7" ht="11.25" outlineLevel="4" x14ac:dyDescent="0.2">
      <c r="B1340" s="14" t="s">
        <v>2556</v>
      </c>
      <c r="C1340" s="14" t="s">
        <v>2557</v>
      </c>
      <c r="D1340" s="14">
        <v>1</v>
      </c>
      <c r="E1340" s="15">
        <v>96.77</v>
      </c>
      <c r="F1340" s="16" t="s">
        <v>8</v>
      </c>
      <c r="G1340" s="38" t="str">
        <f>HYPERLINK("http://enext.ua/s0290005")</f>
        <v>http://enext.ua/s0290005</v>
      </c>
    </row>
    <row r="1341" spans="2:7" ht="11.25" outlineLevel="4" x14ac:dyDescent="0.2">
      <c r="B1341" s="14" t="s">
        <v>2558</v>
      </c>
      <c r="C1341" s="14" t="s">
        <v>2559</v>
      </c>
      <c r="D1341" s="14">
        <v>1</v>
      </c>
      <c r="E1341" s="15">
        <v>121.64</v>
      </c>
      <c r="F1341" s="16" t="s">
        <v>8</v>
      </c>
      <c r="G1341" s="38" t="str">
        <f>HYPERLINK("http://enext.ua/s0290006")</f>
        <v>http://enext.ua/s0290006</v>
      </c>
    </row>
    <row r="1342" spans="2:7" ht="11.25" outlineLevel="4" x14ac:dyDescent="0.2">
      <c r="B1342" s="14" t="s">
        <v>2560</v>
      </c>
      <c r="C1342" s="14" t="s">
        <v>2561</v>
      </c>
      <c r="D1342" s="14">
        <v>1</v>
      </c>
      <c r="E1342" s="15">
        <v>151.68</v>
      </c>
      <c r="F1342" s="16" t="s">
        <v>8</v>
      </c>
      <c r="G1342" s="38" t="str">
        <f>HYPERLINK("http://enext.ua/s0290007")</f>
        <v>http://enext.ua/s0290007</v>
      </c>
    </row>
    <row r="1343" spans="2:7" ht="11.25" outlineLevel="4" x14ac:dyDescent="0.2">
      <c r="B1343" s="14" t="s">
        <v>2562</v>
      </c>
      <c r="C1343" s="14" t="s">
        <v>2563</v>
      </c>
      <c r="D1343" s="14">
        <v>1</v>
      </c>
      <c r="E1343" s="15">
        <v>203.4</v>
      </c>
      <c r="F1343" s="16" t="s">
        <v>8</v>
      </c>
      <c r="G1343" s="38" t="str">
        <f>HYPERLINK("http://enext.ua/s0290008")</f>
        <v>http://enext.ua/s0290008</v>
      </c>
    </row>
    <row r="1344" spans="2:7" ht="11.25" outlineLevel="4" x14ac:dyDescent="0.2">
      <c r="B1344" s="14" t="s">
        <v>2564</v>
      </c>
      <c r="C1344" s="14" t="s">
        <v>2565</v>
      </c>
      <c r="D1344" s="14">
        <v>1</v>
      </c>
      <c r="E1344" s="15">
        <v>238.85</v>
      </c>
      <c r="F1344" s="16" t="s">
        <v>8</v>
      </c>
      <c r="G1344" s="38" t="str">
        <f>HYPERLINK("http://enext.ua/s0290009")</f>
        <v>http://enext.ua/s0290009</v>
      </c>
    </row>
    <row r="1345" spans="2:7" ht="11.25" outlineLevel="4" x14ac:dyDescent="0.2">
      <c r="B1345" s="14" t="s">
        <v>2566</v>
      </c>
      <c r="C1345" s="14" t="s">
        <v>2567</v>
      </c>
      <c r="D1345" s="14">
        <v>1</v>
      </c>
      <c r="E1345" s="15">
        <v>289.44</v>
      </c>
      <c r="F1345" s="16" t="s">
        <v>8</v>
      </c>
      <c r="G1345" s="38" t="str">
        <f>HYPERLINK("http://enext.ua/s0290010")</f>
        <v>http://enext.ua/s0290010</v>
      </c>
    </row>
    <row r="1346" spans="2:7" ht="11.25" outlineLevel="4" x14ac:dyDescent="0.2">
      <c r="B1346" s="14" t="s">
        <v>2568</v>
      </c>
      <c r="C1346" s="14" t="s">
        <v>2569</v>
      </c>
      <c r="D1346" s="14">
        <v>1</v>
      </c>
      <c r="E1346" s="15">
        <v>414.32</v>
      </c>
      <c r="F1346" s="16" t="s">
        <v>8</v>
      </c>
      <c r="G1346" s="38" t="str">
        <f>HYPERLINK("http://enext.ua/s0290011")</f>
        <v>http://enext.ua/s0290011</v>
      </c>
    </row>
    <row r="1347" spans="2:7" ht="11.25" outlineLevel="4" x14ac:dyDescent="0.2">
      <c r="B1347" s="14" t="s">
        <v>2570</v>
      </c>
      <c r="C1347" s="14" t="s">
        <v>2571</v>
      </c>
      <c r="D1347" s="14">
        <v>1</v>
      </c>
      <c r="E1347" s="15">
        <v>584.78</v>
      </c>
      <c r="F1347" s="16" t="s">
        <v>8</v>
      </c>
      <c r="G1347" s="38" t="str">
        <f>HYPERLINK("http://enext.ua/s0290012")</f>
        <v>http://enext.ua/s0290012</v>
      </c>
    </row>
    <row r="1348" spans="2:7" ht="11.25" outlineLevel="4" x14ac:dyDescent="0.2">
      <c r="B1348" s="14" t="s">
        <v>2572</v>
      </c>
      <c r="C1348" s="14" t="s">
        <v>2573</v>
      </c>
      <c r="D1348" s="14">
        <v>1</v>
      </c>
      <c r="E1348" s="15">
        <v>94.11</v>
      </c>
      <c r="F1348" s="16" t="s">
        <v>8</v>
      </c>
      <c r="G1348" s="38" t="str">
        <f>HYPERLINK("http://enext.ua/s0290013")</f>
        <v>http://enext.ua/s0290013</v>
      </c>
    </row>
    <row r="1349" spans="2:7" ht="11.25" outlineLevel="4" x14ac:dyDescent="0.2">
      <c r="B1349" s="14" t="s">
        <v>2574</v>
      </c>
      <c r="C1349" s="14" t="s">
        <v>2575</v>
      </c>
      <c r="D1349" s="14">
        <v>1</v>
      </c>
      <c r="E1349" s="15">
        <v>113.05</v>
      </c>
      <c r="F1349" s="16" t="s">
        <v>8</v>
      </c>
      <c r="G1349" s="38" t="str">
        <f>HYPERLINK("http://enext.ua/s0290014")</f>
        <v>http://enext.ua/s0290014</v>
      </c>
    </row>
    <row r="1350" spans="2:7" ht="11.25" outlineLevel="4" x14ac:dyDescent="0.2">
      <c r="B1350" s="14" t="s">
        <v>2576</v>
      </c>
      <c r="C1350" s="14" t="s">
        <v>2577</v>
      </c>
      <c r="D1350" s="14">
        <v>1</v>
      </c>
      <c r="E1350" s="15">
        <v>151.68</v>
      </c>
      <c r="F1350" s="16" t="s">
        <v>8</v>
      </c>
      <c r="G1350" s="38" t="str">
        <f>HYPERLINK("http://enext.ua/s0290015")</f>
        <v>http://enext.ua/s0290015</v>
      </c>
    </row>
    <row r="1351" spans="2:7" ht="11.25" outlineLevel="4" x14ac:dyDescent="0.2">
      <c r="B1351" s="14" t="s">
        <v>2578</v>
      </c>
      <c r="C1351" s="14" t="s">
        <v>2579</v>
      </c>
      <c r="D1351" s="14">
        <v>1</v>
      </c>
      <c r="E1351" s="15">
        <v>203.4</v>
      </c>
      <c r="F1351" s="16" t="s">
        <v>8</v>
      </c>
      <c r="G1351" s="38" t="str">
        <f>HYPERLINK("http://enext.ua/s0290016")</f>
        <v>http://enext.ua/s0290016</v>
      </c>
    </row>
    <row r="1352" spans="2:7" ht="11.25" outlineLevel="4" x14ac:dyDescent="0.2">
      <c r="B1352" s="14" t="s">
        <v>2580</v>
      </c>
      <c r="C1352" s="14" t="s">
        <v>2581</v>
      </c>
      <c r="D1352" s="14">
        <v>1</v>
      </c>
      <c r="E1352" s="15">
        <v>238.85</v>
      </c>
      <c r="F1352" s="16" t="s">
        <v>8</v>
      </c>
      <c r="G1352" s="38" t="str">
        <f>HYPERLINK("http://enext.ua/s0290017")</f>
        <v>http://enext.ua/s0290017</v>
      </c>
    </row>
    <row r="1353" spans="2:7" ht="11.25" outlineLevel="4" x14ac:dyDescent="0.2">
      <c r="B1353" s="14" t="s">
        <v>2582</v>
      </c>
      <c r="C1353" s="14" t="s">
        <v>2583</v>
      </c>
      <c r="D1353" s="14">
        <v>1</v>
      </c>
      <c r="E1353" s="15">
        <v>289.44</v>
      </c>
      <c r="F1353" s="16" t="s">
        <v>8</v>
      </c>
      <c r="G1353" s="38" t="str">
        <f>HYPERLINK("http://enext.ua/s0290018")</f>
        <v>http://enext.ua/s0290018</v>
      </c>
    </row>
    <row r="1354" spans="2:7" ht="11.25" outlineLevel="4" x14ac:dyDescent="0.2">
      <c r="B1354" s="14" t="s">
        <v>2584</v>
      </c>
      <c r="C1354" s="14" t="s">
        <v>2585</v>
      </c>
      <c r="D1354" s="14">
        <v>1</v>
      </c>
      <c r="E1354" s="15">
        <v>414.32</v>
      </c>
      <c r="F1354" s="16" t="s">
        <v>8</v>
      </c>
      <c r="G1354" s="38" t="str">
        <f>HYPERLINK("http://enext.ua/s0290019")</f>
        <v>http://enext.ua/s0290019</v>
      </c>
    </row>
    <row r="1355" spans="2:7" ht="11.25" outlineLevel="4" x14ac:dyDescent="0.2">
      <c r="B1355" s="14" t="s">
        <v>2586</v>
      </c>
      <c r="C1355" s="14" t="s">
        <v>2587</v>
      </c>
      <c r="D1355" s="14">
        <v>1</v>
      </c>
      <c r="E1355" s="15">
        <v>602.24</v>
      </c>
      <c r="F1355" s="16" t="s">
        <v>8</v>
      </c>
      <c r="G1355" s="38" t="str">
        <f>HYPERLINK("http://enext.ua/s0290020")</f>
        <v>http://enext.ua/s0290020</v>
      </c>
    </row>
    <row r="1356" spans="2:7" ht="11.25" outlineLevel="4" x14ac:dyDescent="0.2">
      <c r="B1356" s="14" t="s">
        <v>2588</v>
      </c>
      <c r="C1356" s="14" t="s">
        <v>2589</v>
      </c>
      <c r="D1356" s="14">
        <v>1</v>
      </c>
      <c r="E1356" s="15">
        <v>7.27</v>
      </c>
      <c r="F1356" s="16" t="s">
        <v>8</v>
      </c>
      <c r="G1356" s="38" t="str">
        <f>HYPERLINK("http://enext.ua/s0290021")</f>
        <v>http://enext.ua/s0290021</v>
      </c>
    </row>
    <row r="1357" spans="2:7" ht="22.5" outlineLevel="4" x14ac:dyDescent="0.2">
      <c r="B1357" s="14" t="s">
        <v>2590</v>
      </c>
      <c r="C1357" s="14" t="s">
        <v>2591</v>
      </c>
      <c r="D1357" s="14">
        <v>1</v>
      </c>
      <c r="E1357" s="15">
        <v>7.27</v>
      </c>
      <c r="F1357" s="16" t="s">
        <v>8</v>
      </c>
      <c r="G1357" s="14"/>
    </row>
    <row r="1358" spans="2:7" ht="12" outlineLevel="3" x14ac:dyDescent="0.2">
      <c r="B1358" s="10"/>
      <c r="C1358" s="36" t="s">
        <v>2592</v>
      </c>
      <c r="D1358" s="10"/>
      <c r="E1358" s="11"/>
      <c r="F1358" s="11"/>
      <c r="G1358" s="10"/>
    </row>
    <row r="1359" spans="2:7" ht="11.25" outlineLevel="4" x14ac:dyDescent="0.2">
      <c r="B1359" s="14" t="s">
        <v>2593</v>
      </c>
      <c r="C1359" s="14" t="s">
        <v>2594</v>
      </c>
      <c r="D1359" s="14">
        <v>1</v>
      </c>
      <c r="E1359" s="15">
        <v>22.97</v>
      </c>
      <c r="F1359" s="16" t="s">
        <v>8</v>
      </c>
      <c r="G1359" s="38" t="str">
        <f>HYPERLINK("http://enext.ua/CSU1011")</f>
        <v>http://enext.ua/CSU1011</v>
      </c>
    </row>
    <row r="1360" spans="2:7" ht="11.25" outlineLevel="4" x14ac:dyDescent="0.2">
      <c r="B1360" s="14" t="s">
        <v>2595</v>
      </c>
      <c r="C1360" s="14" t="s">
        <v>2596</v>
      </c>
      <c r="D1360" s="14">
        <v>1</v>
      </c>
      <c r="E1360" s="15">
        <v>29.97</v>
      </c>
      <c r="F1360" s="16" t="s">
        <v>8</v>
      </c>
      <c r="G1360" s="38" t="str">
        <f>HYPERLINK("http://enext.ua/CSU1012")</f>
        <v>http://enext.ua/CSU1012</v>
      </c>
    </row>
    <row r="1361" spans="2:7" ht="11.25" outlineLevel="4" x14ac:dyDescent="0.2">
      <c r="B1361" s="14" t="s">
        <v>2597</v>
      </c>
      <c r="C1361" s="14" t="s">
        <v>2598</v>
      </c>
      <c r="D1361" s="14">
        <v>1</v>
      </c>
      <c r="E1361" s="15">
        <v>39.770000000000003</v>
      </c>
      <c r="F1361" s="16" t="s">
        <v>8</v>
      </c>
      <c r="G1361" s="38" t="str">
        <f>HYPERLINK("http://enext.ua/CSU1034")</f>
        <v>http://enext.ua/CSU1034</v>
      </c>
    </row>
    <row r="1362" spans="2:7" ht="11.25" outlineLevel="4" x14ac:dyDescent="0.2">
      <c r="B1362" s="14" t="s">
        <v>2599</v>
      </c>
      <c r="C1362" s="14" t="s">
        <v>2600</v>
      </c>
      <c r="D1362" s="14">
        <v>1</v>
      </c>
      <c r="E1362" s="15">
        <v>85.15</v>
      </c>
      <c r="F1362" s="16" t="s">
        <v>8</v>
      </c>
      <c r="G1362" s="38" t="str">
        <f>HYPERLINK("http://enext.ua/CSU1035")</f>
        <v>http://enext.ua/CSU1035</v>
      </c>
    </row>
    <row r="1363" spans="2:7" ht="11.25" outlineLevel="4" x14ac:dyDescent="0.2">
      <c r="B1363" s="14" t="s">
        <v>2601</v>
      </c>
      <c r="C1363" s="14" t="s">
        <v>2602</v>
      </c>
      <c r="D1363" s="14">
        <v>1</v>
      </c>
      <c r="E1363" s="15">
        <v>169.46</v>
      </c>
      <c r="F1363" s="16" t="s">
        <v>8</v>
      </c>
      <c r="G1363" s="38" t="str">
        <f>HYPERLINK("http://enext.ua/CBU905")</f>
        <v>http://enext.ua/CBU905</v>
      </c>
    </row>
    <row r="1364" spans="2:7" ht="11.25" outlineLevel="4" x14ac:dyDescent="0.2">
      <c r="B1364" s="14" t="s">
        <v>2603</v>
      </c>
      <c r="C1364" s="14" t="s">
        <v>2604</v>
      </c>
      <c r="D1364" s="14">
        <v>1</v>
      </c>
      <c r="E1364" s="15">
        <v>191.02</v>
      </c>
      <c r="F1364" s="16" t="s">
        <v>8</v>
      </c>
      <c r="G1364" s="38" t="str">
        <f>HYPERLINK("http://enext.ua/CBU908")</f>
        <v>http://enext.ua/CBU908</v>
      </c>
    </row>
    <row r="1365" spans="2:7" ht="11.25" outlineLevel="4" x14ac:dyDescent="0.2">
      <c r="B1365" s="14" t="s">
        <v>2605</v>
      </c>
      <c r="C1365" s="14" t="s">
        <v>2606</v>
      </c>
      <c r="D1365" s="14">
        <v>1</v>
      </c>
      <c r="E1365" s="15">
        <v>258</v>
      </c>
      <c r="F1365" s="16" t="s">
        <v>8</v>
      </c>
      <c r="G1365" s="38" t="str">
        <f>HYPERLINK("http://enext.ua/CBU912")</f>
        <v>http://enext.ua/CBU912</v>
      </c>
    </row>
    <row r="1366" spans="2:7" ht="11.25" outlineLevel="4" x14ac:dyDescent="0.2">
      <c r="B1366" s="14" t="s">
        <v>2607</v>
      </c>
      <c r="C1366" s="14" t="s">
        <v>2608</v>
      </c>
      <c r="D1366" s="14">
        <v>1</v>
      </c>
      <c r="E1366" s="15">
        <v>474.75</v>
      </c>
      <c r="F1366" s="16" t="s">
        <v>8</v>
      </c>
      <c r="G1366" s="38" t="str">
        <f>HYPERLINK("http://enext.ua/CBU924")</f>
        <v>http://enext.ua/CBU924</v>
      </c>
    </row>
    <row r="1367" spans="2:7" ht="11.25" outlineLevel="4" x14ac:dyDescent="0.2">
      <c r="B1367" s="14" t="s">
        <v>2609</v>
      </c>
      <c r="C1367" s="14" t="s">
        <v>2610</v>
      </c>
      <c r="D1367" s="14">
        <v>1</v>
      </c>
      <c r="E1367" s="15">
        <v>169.46</v>
      </c>
      <c r="F1367" s="16" t="s">
        <v>8</v>
      </c>
      <c r="G1367" s="38" t="str">
        <f>HYPERLINK("http://enext.ua/CBA905")</f>
        <v>http://enext.ua/CBA905</v>
      </c>
    </row>
    <row r="1368" spans="2:7" ht="11.25" outlineLevel="4" x14ac:dyDescent="0.2">
      <c r="B1368" s="14" t="s">
        <v>2611</v>
      </c>
      <c r="C1368" s="14" t="s">
        <v>2612</v>
      </c>
      <c r="D1368" s="14">
        <v>1</v>
      </c>
      <c r="E1368" s="15">
        <v>191.02</v>
      </c>
      <c r="F1368" s="16" t="s">
        <v>8</v>
      </c>
      <c r="G1368" s="38" t="str">
        <f>HYPERLINK("http://enext.ua/CBA908")</f>
        <v>http://enext.ua/CBA908</v>
      </c>
    </row>
    <row r="1369" spans="2:7" ht="11.25" outlineLevel="4" x14ac:dyDescent="0.2">
      <c r="B1369" s="14" t="s">
        <v>2613</v>
      </c>
      <c r="C1369" s="14" t="s">
        <v>2614</v>
      </c>
      <c r="D1369" s="14">
        <v>1</v>
      </c>
      <c r="E1369" s="15">
        <v>510.7</v>
      </c>
      <c r="F1369" s="16" t="s">
        <v>8</v>
      </c>
      <c r="G1369" s="38" t="str">
        <f>HYPERLINK("http://enext.ua/CBA924")</f>
        <v>http://enext.ua/CBA924</v>
      </c>
    </row>
    <row r="1370" spans="2:7" ht="11.25" outlineLevel="4" x14ac:dyDescent="0.2">
      <c r="B1370" s="14" t="s">
        <v>2615</v>
      </c>
      <c r="C1370" s="14" t="s">
        <v>2616</v>
      </c>
      <c r="D1370" s="14">
        <v>1</v>
      </c>
      <c r="E1370" s="15">
        <v>636.80999999999995</v>
      </c>
      <c r="F1370" s="16" t="s">
        <v>8</v>
      </c>
      <c r="G1370" s="38" t="str">
        <f>HYPERLINK("http://enext.ua/CBA936")</f>
        <v>http://enext.ua/CBA936</v>
      </c>
    </row>
    <row r="1371" spans="2:7" ht="12" outlineLevel="3" x14ac:dyDescent="0.2">
      <c r="B1371" s="10"/>
      <c r="C1371" s="36" t="s">
        <v>2617</v>
      </c>
      <c r="D1371" s="10"/>
      <c r="E1371" s="11"/>
      <c r="F1371" s="11"/>
      <c r="G1371" s="10"/>
    </row>
    <row r="1372" spans="2:7" ht="22.5" outlineLevel="4" x14ac:dyDescent="0.2">
      <c r="B1372" s="14" t="s">
        <v>2618</v>
      </c>
      <c r="C1372" s="14" t="s">
        <v>2619</v>
      </c>
      <c r="D1372" s="14">
        <v>1</v>
      </c>
      <c r="E1372" s="15">
        <v>138.27000000000001</v>
      </c>
      <c r="F1372" s="16" t="s">
        <v>8</v>
      </c>
      <c r="G1372" s="38" t="str">
        <f>HYPERLINK("http://enext.ua/s0110001")</f>
        <v>http://enext.ua/s0110001</v>
      </c>
    </row>
    <row r="1373" spans="2:7" ht="22.5" outlineLevel="4" x14ac:dyDescent="0.2">
      <c r="B1373" s="14" t="s">
        <v>2620</v>
      </c>
      <c r="C1373" s="14" t="s">
        <v>2621</v>
      </c>
      <c r="D1373" s="14">
        <v>1</v>
      </c>
      <c r="E1373" s="15">
        <v>218.27</v>
      </c>
      <c r="F1373" s="16" t="s">
        <v>8</v>
      </c>
      <c r="G1373" s="38" t="str">
        <f>HYPERLINK("http://enext.ua/s0110005")</f>
        <v>http://enext.ua/s0110005</v>
      </c>
    </row>
    <row r="1374" spans="2:7" ht="22.5" outlineLevel="4" x14ac:dyDescent="0.2">
      <c r="B1374" s="14" t="s">
        <v>2622</v>
      </c>
      <c r="C1374" s="14" t="s">
        <v>2623</v>
      </c>
      <c r="D1374" s="14">
        <v>1</v>
      </c>
      <c r="E1374" s="15">
        <v>162.5</v>
      </c>
      <c r="F1374" s="16" t="s">
        <v>8</v>
      </c>
      <c r="G1374" s="38" t="str">
        <f>HYPERLINK("http://enext.ua/s0110002")</f>
        <v>http://enext.ua/s0110002</v>
      </c>
    </row>
    <row r="1375" spans="2:7" ht="22.5" outlineLevel="4" x14ac:dyDescent="0.2">
      <c r="B1375" s="14" t="s">
        <v>2624</v>
      </c>
      <c r="C1375" s="14" t="s">
        <v>2625</v>
      </c>
      <c r="D1375" s="14">
        <v>1</v>
      </c>
      <c r="E1375" s="15">
        <v>272.29000000000002</v>
      </c>
      <c r="F1375" s="16" t="s">
        <v>8</v>
      </c>
      <c r="G1375" s="38" t="str">
        <f>HYPERLINK("http://enext.ua/s0110003")</f>
        <v>http://enext.ua/s0110003</v>
      </c>
    </row>
    <row r="1376" spans="2:7" ht="22.5" outlineLevel="4" x14ac:dyDescent="0.2">
      <c r="B1376" s="14" t="s">
        <v>2626</v>
      </c>
      <c r="C1376" s="14" t="s">
        <v>2627</v>
      </c>
      <c r="D1376" s="14">
        <v>1</v>
      </c>
      <c r="E1376" s="15">
        <v>452.51</v>
      </c>
      <c r="F1376" s="16" t="s">
        <v>8</v>
      </c>
      <c r="G1376" s="38" t="str">
        <f>HYPERLINK("http://enext.ua/s0110004")</f>
        <v>http://enext.ua/s0110004</v>
      </c>
    </row>
    <row r="1377" spans="2:7" ht="11.25" outlineLevel="4" x14ac:dyDescent="0.2">
      <c r="B1377" s="14" t="s">
        <v>2628</v>
      </c>
      <c r="C1377" s="14" t="s">
        <v>2629</v>
      </c>
      <c r="D1377" s="14">
        <v>1</v>
      </c>
      <c r="E1377" s="15">
        <v>103.64</v>
      </c>
      <c r="F1377" s="16" t="s">
        <v>8</v>
      </c>
      <c r="G1377" s="38" t="str">
        <f>HYPERLINK("http://enext.ua/s0110008")</f>
        <v>http://enext.ua/s0110008</v>
      </c>
    </row>
    <row r="1378" spans="2:7" ht="11.25" outlineLevel="4" x14ac:dyDescent="0.2">
      <c r="B1378" s="14" t="s">
        <v>2630</v>
      </c>
      <c r="C1378" s="14" t="s">
        <v>2631</v>
      </c>
      <c r="D1378" s="14">
        <v>1</v>
      </c>
      <c r="E1378" s="15">
        <v>272.73</v>
      </c>
      <c r="F1378" s="16" t="s">
        <v>8</v>
      </c>
      <c r="G1378" s="38" t="str">
        <f>HYPERLINK("http://enext.ua/s0110007")</f>
        <v>http://enext.ua/s0110007</v>
      </c>
    </row>
    <row r="1379" spans="2:7" ht="12" outlineLevel="3" x14ac:dyDescent="0.2">
      <c r="B1379" s="10"/>
      <c r="C1379" s="36" t="s">
        <v>2632</v>
      </c>
      <c r="D1379" s="10"/>
      <c r="E1379" s="11"/>
      <c r="F1379" s="11"/>
      <c r="G1379" s="10"/>
    </row>
    <row r="1380" spans="2:7" ht="11.25" outlineLevel="4" x14ac:dyDescent="0.2">
      <c r="B1380" s="14" t="s">
        <v>2633</v>
      </c>
      <c r="C1380" s="14" t="s">
        <v>2634</v>
      </c>
      <c r="D1380" s="14">
        <v>9</v>
      </c>
      <c r="E1380" s="15">
        <v>70.040000000000006</v>
      </c>
      <c r="F1380" s="16" t="s">
        <v>8</v>
      </c>
      <c r="G1380" s="38" t="str">
        <f>HYPERLINK("http://enext.ua/s030001")</f>
        <v>http://enext.ua/s030001</v>
      </c>
    </row>
    <row r="1381" spans="2:7" ht="11.25" outlineLevel="4" x14ac:dyDescent="0.2">
      <c r="B1381" s="14" t="s">
        <v>2635</v>
      </c>
      <c r="C1381" s="14" t="s">
        <v>2636</v>
      </c>
      <c r="D1381" s="14">
        <v>6</v>
      </c>
      <c r="E1381" s="15">
        <v>106.36</v>
      </c>
      <c r="F1381" s="16" t="s">
        <v>8</v>
      </c>
      <c r="G1381" s="38" t="str">
        <f>HYPERLINK("http://enext.ua/s030002")</f>
        <v>http://enext.ua/s030002</v>
      </c>
    </row>
    <row r="1382" spans="2:7" ht="12" outlineLevel="3" x14ac:dyDescent="0.2">
      <c r="B1382" s="10"/>
      <c r="C1382" s="36" t="s">
        <v>2637</v>
      </c>
      <c r="D1382" s="10"/>
      <c r="E1382" s="11"/>
      <c r="F1382" s="11"/>
      <c r="G1382" s="10"/>
    </row>
    <row r="1383" spans="2:7" ht="11.25" outlineLevel="4" x14ac:dyDescent="0.2">
      <c r="B1383" s="14" t="s">
        <v>2638</v>
      </c>
      <c r="C1383" s="14" t="s">
        <v>2639</v>
      </c>
      <c r="D1383" s="14">
        <v>1</v>
      </c>
      <c r="E1383" s="15">
        <v>57.98</v>
      </c>
      <c r="F1383" s="16" t="s">
        <v>8</v>
      </c>
      <c r="G1383" s="38" t="str">
        <f>HYPERLINK("http://enext.ua/6670-103")</f>
        <v>http://enext.ua/6670-103</v>
      </c>
    </row>
    <row r="1384" spans="2:7" ht="22.5" outlineLevel="4" x14ac:dyDescent="0.2">
      <c r="B1384" s="14" t="s">
        <v>2640</v>
      </c>
      <c r="C1384" s="14" t="s">
        <v>2641</v>
      </c>
      <c r="D1384" s="14">
        <v>1</v>
      </c>
      <c r="E1384" s="15">
        <v>318.18</v>
      </c>
      <c r="F1384" s="16" t="s">
        <v>8</v>
      </c>
      <c r="G1384" s="38" t="str">
        <f>HYPERLINK("http://enext.ua/6666-105непр")</f>
        <v>http://enext.ua/6666-105непр</v>
      </c>
    </row>
    <row r="1385" spans="2:7" ht="22.5" outlineLevel="4" x14ac:dyDescent="0.2">
      <c r="B1385" s="14" t="s">
        <v>2642</v>
      </c>
      <c r="C1385" s="14" t="s">
        <v>2643</v>
      </c>
      <c r="D1385" s="14">
        <v>1</v>
      </c>
      <c r="E1385" s="15">
        <v>458.22</v>
      </c>
      <c r="F1385" s="16" t="s">
        <v>8</v>
      </c>
      <c r="G1385" s="38" t="str">
        <f>HYPERLINK("http://enext.ua/6667-109непр")</f>
        <v>http://enext.ua/6667-109непр</v>
      </c>
    </row>
    <row r="1386" spans="2:7" ht="22.5" outlineLevel="4" x14ac:dyDescent="0.2">
      <c r="B1386" s="14" t="s">
        <v>2644</v>
      </c>
      <c r="C1386" s="14" t="s">
        <v>2645</v>
      </c>
      <c r="D1386" s="14">
        <v>1</v>
      </c>
      <c r="E1386" s="15">
        <v>553.45000000000005</v>
      </c>
      <c r="F1386" s="16" t="s">
        <v>8</v>
      </c>
      <c r="G1386" s="38" t="str">
        <f>HYPERLINK("http://enext.ua/6668-113непр")</f>
        <v>http://enext.ua/6668-113непр</v>
      </c>
    </row>
    <row r="1387" spans="2:7" ht="22.5" outlineLevel="4" x14ac:dyDescent="0.2">
      <c r="B1387" s="14" t="s">
        <v>2646</v>
      </c>
      <c r="C1387" s="14" t="s">
        <v>2647</v>
      </c>
      <c r="D1387" s="14">
        <v>1</v>
      </c>
      <c r="E1387" s="15">
        <v>323.77999999999997</v>
      </c>
      <c r="F1387" s="16" t="s">
        <v>8</v>
      </c>
      <c r="G1387" s="38" t="str">
        <f>HYPERLINK("http://enext.ua/6661-105непр")</f>
        <v>http://enext.ua/6661-105непр</v>
      </c>
    </row>
    <row r="1388" spans="2:7" ht="22.5" outlineLevel="4" x14ac:dyDescent="0.2">
      <c r="B1388" s="14" t="s">
        <v>2648</v>
      </c>
      <c r="C1388" s="14" t="s">
        <v>2649</v>
      </c>
      <c r="D1388" s="14">
        <v>1</v>
      </c>
      <c r="E1388" s="15">
        <v>471.95</v>
      </c>
      <c r="F1388" s="16" t="s">
        <v>8</v>
      </c>
      <c r="G1388" s="38" t="str">
        <f>HYPERLINK("http://enext.ua/6662-109непр")</f>
        <v>http://enext.ua/6662-109непр</v>
      </c>
    </row>
    <row r="1389" spans="2:7" ht="22.5" outlineLevel="4" x14ac:dyDescent="0.2">
      <c r="B1389" s="14" t="s">
        <v>2650</v>
      </c>
      <c r="C1389" s="14" t="s">
        <v>2651</v>
      </c>
      <c r="D1389" s="14">
        <v>1</v>
      </c>
      <c r="E1389" s="15">
        <v>564.38</v>
      </c>
      <c r="F1389" s="16" t="s">
        <v>8</v>
      </c>
      <c r="G1389" s="38" t="str">
        <f>HYPERLINK("http://enext.ua/6663-113непр")</f>
        <v>http://enext.ua/6663-113непр</v>
      </c>
    </row>
    <row r="1390" spans="2:7" ht="22.5" outlineLevel="4" x14ac:dyDescent="0.2">
      <c r="B1390" s="14" t="s">
        <v>2652</v>
      </c>
      <c r="C1390" s="14" t="s">
        <v>2653</v>
      </c>
      <c r="D1390" s="14">
        <v>1</v>
      </c>
      <c r="E1390" s="15">
        <v>725.15</v>
      </c>
      <c r="F1390" s="16" t="s">
        <v>8</v>
      </c>
      <c r="G1390" s="38" t="str">
        <f>HYPERLINK("http://enext.ua/6665-118непр")</f>
        <v>http://enext.ua/6665-118непр</v>
      </c>
    </row>
    <row r="1391" spans="2:7" ht="22.5" outlineLevel="4" x14ac:dyDescent="0.2">
      <c r="B1391" s="14" t="s">
        <v>2654</v>
      </c>
      <c r="C1391" s="14" t="s">
        <v>2655</v>
      </c>
      <c r="D1391" s="14">
        <v>1</v>
      </c>
      <c r="E1391" s="17">
        <v>1074.98</v>
      </c>
      <c r="F1391" s="16" t="s">
        <v>8</v>
      </c>
      <c r="G1391" s="38" t="str">
        <f>HYPERLINK("http://enext.ua/6664-126непр")</f>
        <v>http://enext.ua/6664-126непр</v>
      </c>
    </row>
    <row r="1392" spans="2:7" ht="22.5" outlineLevel="4" x14ac:dyDescent="0.2">
      <c r="B1392" s="14" t="s">
        <v>2656</v>
      </c>
      <c r="C1392" s="14" t="s">
        <v>2657</v>
      </c>
      <c r="D1392" s="14">
        <v>1</v>
      </c>
      <c r="E1392" s="17">
        <v>1802.37</v>
      </c>
      <c r="F1392" s="16" t="s">
        <v>8</v>
      </c>
      <c r="G1392" s="38" t="str">
        <f>HYPERLINK("http://enext.ua/6672-137непр")</f>
        <v>http://enext.ua/6672-137непр</v>
      </c>
    </row>
    <row r="1393" spans="2:7" ht="22.5" outlineLevel="4" x14ac:dyDescent="0.2">
      <c r="B1393" s="14" t="s">
        <v>2658</v>
      </c>
      <c r="C1393" s="14" t="s">
        <v>2659</v>
      </c>
      <c r="D1393" s="14">
        <v>1</v>
      </c>
      <c r="E1393" s="15">
        <v>441.98</v>
      </c>
      <c r="F1393" s="16" t="s">
        <v>8</v>
      </c>
      <c r="G1393" s="38" t="str">
        <f>HYPERLINK("http://enext.ua/6661-205непр")</f>
        <v>http://enext.ua/6661-205непр</v>
      </c>
    </row>
    <row r="1394" spans="2:7" ht="22.5" outlineLevel="4" x14ac:dyDescent="0.2">
      <c r="B1394" s="14" t="s">
        <v>2660</v>
      </c>
      <c r="C1394" s="14" t="s">
        <v>2661</v>
      </c>
      <c r="D1394" s="14">
        <v>1</v>
      </c>
      <c r="E1394" s="15">
        <v>885.08</v>
      </c>
      <c r="F1394" s="16" t="s">
        <v>8</v>
      </c>
      <c r="G1394" s="38" t="str">
        <f>HYPERLINK("http://enext.ua/6663-213непр")</f>
        <v>http://enext.ua/6663-213непр</v>
      </c>
    </row>
    <row r="1395" spans="2:7" ht="22.5" outlineLevel="4" x14ac:dyDescent="0.2">
      <c r="B1395" s="14" t="s">
        <v>2662</v>
      </c>
      <c r="C1395" s="14" t="s">
        <v>2663</v>
      </c>
      <c r="D1395" s="14">
        <v>1</v>
      </c>
      <c r="E1395" s="17">
        <v>1029.33</v>
      </c>
      <c r="F1395" s="16" t="s">
        <v>8</v>
      </c>
      <c r="G1395" s="38" t="str">
        <f>HYPERLINK("http://enext.ua/6665-218непр")</f>
        <v>http://enext.ua/6665-218непр</v>
      </c>
    </row>
    <row r="1396" spans="2:7" ht="22.5" outlineLevel="4" x14ac:dyDescent="0.2">
      <c r="B1396" s="14" t="s">
        <v>2664</v>
      </c>
      <c r="C1396" s="14" t="s">
        <v>2665</v>
      </c>
      <c r="D1396" s="14">
        <v>1</v>
      </c>
      <c r="E1396" s="17">
        <v>1329.58</v>
      </c>
      <c r="F1396" s="16" t="s">
        <v>8</v>
      </c>
      <c r="G1396" s="38" t="str">
        <f>HYPERLINK("http://enext.ua/6664-226непр")</f>
        <v>http://enext.ua/6664-226непр</v>
      </c>
    </row>
    <row r="1397" spans="2:7" ht="22.5" outlineLevel="4" x14ac:dyDescent="0.2">
      <c r="B1397" s="14" t="s">
        <v>2666</v>
      </c>
      <c r="C1397" s="14" t="s">
        <v>2667</v>
      </c>
      <c r="D1397" s="14">
        <v>1</v>
      </c>
      <c r="E1397" s="17">
        <v>2357.2199999999998</v>
      </c>
      <c r="F1397" s="16" t="s">
        <v>8</v>
      </c>
      <c r="G1397" s="38" t="str">
        <f>HYPERLINK("http://enext.ua/6672-237")</f>
        <v>http://enext.ua/6672-237</v>
      </c>
    </row>
    <row r="1398" spans="2:7" ht="11.25" outlineLevel="4" x14ac:dyDescent="0.2">
      <c r="B1398" s="14" t="s">
        <v>2668</v>
      </c>
      <c r="C1398" s="14" t="s">
        <v>2669</v>
      </c>
      <c r="D1398" s="14">
        <v>1</v>
      </c>
      <c r="E1398" s="15">
        <v>318.18</v>
      </c>
      <c r="F1398" s="16" t="s">
        <v>8</v>
      </c>
      <c r="G1398" s="38" t="str">
        <f>HYPERLINK("http://enext.ua/6666-105")</f>
        <v>http://enext.ua/6666-105</v>
      </c>
    </row>
    <row r="1399" spans="2:7" ht="11.25" outlineLevel="4" x14ac:dyDescent="0.2">
      <c r="B1399" s="14" t="s">
        <v>2670</v>
      </c>
      <c r="C1399" s="14" t="s">
        <v>2671</v>
      </c>
      <c r="D1399" s="14">
        <v>1</v>
      </c>
      <c r="E1399" s="15">
        <v>458.22</v>
      </c>
      <c r="F1399" s="16" t="s">
        <v>8</v>
      </c>
      <c r="G1399" s="38" t="str">
        <f>HYPERLINK("http://enext.ua/6667-109")</f>
        <v>http://enext.ua/6667-109</v>
      </c>
    </row>
    <row r="1400" spans="2:7" ht="11.25" outlineLevel="4" x14ac:dyDescent="0.2">
      <c r="B1400" s="14" t="s">
        <v>2672</v>
      </c>
      <c r="C1400" s="14" t="s">
        <v>2673</v>
      </c>
      <c r="D1400" s="14">
        <v>1</v>
      </c>
      <c r="E1400" s="15">
        <v>553.45000000000005</v>
      </c>
      <c r="F1400" s="16" t="s">
        <v>8</v>
      </c>
      <c r="G1400" s="38" t="str">
        <f>HYPERLINK("http://enext.ua/6668-113")</f>
        <v>http://enext.ua/6668-113</v>
      </c>
    </row>
    <row r="1401" spans="2:7" ht="11.25" outlineLevel="4" x14ac:dyDescent="0.2">
      <c r="B1401" s="14" t="s">
        <v>2674</v>
      </c>
      <c r="C1401" s="14" t="s">
        <v>2675</v>
      </c>
      <c r="D1401" s="14">
        <v>1</v>
      </c>
      <c r="E1401" s="15">
        <v>323.77999999999997</v>
      </c>
      <c r="F1401" s="16" t="s">
        <v>8</v>
      </c>
      <c r="G1401" s="38" t="str">
        <f>HYPERLINK("http://enext.ua/6661-105")</f>
        <v>http://enext.ua/6661-105</v>
      </c>
    </row>
    <row r="1402" spans="2:7" ht="11.25" outlineLevel="4" x14ac:dyDescent="0.2">
      <c r="B1402" s="14" t="s">
        <v>2676</v>
      </c>
      <c r="C1402" s="14" t="s">
        <v>2677</v>
      </c>
      <c r="D1402" s="14">
        <v>1</v>
      </c>
      <c r="E1402" s="15">
        <v>471.95</v>
      </c>
      <c r="F1402" s="16" t="s">
        <v>8</v>
      </c>
      <c r="G1402" s="38" t="str">
        <f>HYPERLINK("http://enext.ua/6662-109")</f>
        <v>http://enext.ua/6662-109</v>
      </c>
    </row>
    <row r="1403" spans="2:7" ht="11.25" outlineLevel="4" x14ac:dyDescent="0.2">
      <c r="B1403" s="14" t="s">
        <v>2678</v>
      </c>
      <c r="C1403" s="14" t="s">
        <v>2679</v>
      </c>
      <c r="D1403" s="14">
        <v>1</v>
      </c>
      <c r="E1403" s="15">
        <v>564.38</v>
      </c>
      <c r="F1403" s="16" t="s">
        <v>8</v>
      </c>
      <c r="G1403" s="38" t="str">
        <f>HYPERLINK("http://enext.ua/6663-113")</f>
        <v>http://enext.ua/6663-113</v>
      </c>
    </row>
    <row r="1404" spans="2:7" ht="11.25" outlineLevel="4" x14ac:dyDescent="0.2">
      <c r="B1404" s="14" t="s">
        <v>2680</v>
      </c>
      <c r="C1404" s="14" t="s">
        <v>2681</v>
      </c>
      <c r="D1404" s="14">
        <v>1</v>
      </c>
      <c r="E1404" s="15">
        <v>725.15</v>
      </c>
      <c r="F1404" s="16" t="s">
        <v>8</v>
      </c>
      <c r="G1404" s="38" t="str">
        <f>HYPERLINK("http://enext.ua/6665-118")</f>
        <v>http://enext.ua/6665-118</v>
      </c>
    </row>
    <row r="1405" spans="2:7" ht="11.25" outlineLevel="4" x14ac:dyDescent="0.2">
      <c r="B1405" s="14" t="s">
        <v>2682</v>
      </c>
      <c r="C1405" s="14" t="s">
        <v>2683</v>
      </c>
      <c r="D1405" s="14">
        <v>1</v>
      </c>
      <c r="E1405" s="17">
        <v>1074.98</v>
      </c>
      <c r="F1405" s="16" t="s">
        <v>8</v>
      </c>
      <c r="G1405" s="38" t="str">
        <f>HYPERLINK("http://enext.ua/6664-126")</f>
        <v>http://enext.ua/6664-126</v>
      </c>
    </row>
    <row r="1406" spans="2:7" ht="11.25" outlineLevel="4" x14ac:dyDescent="0.2">
      <c r="B1406" s="14" t="s">
        <v>2684</v>
      </c>
      <c r="C1406" s="14" t="s">
        <v>2685</v>
      </c>
      <c r="D1406" s="14">
        <v>1</v>
      </c>
      <c r="E1406" s="17">
        <v>1802.37</v>
      </c>
      <c r="F1406" s="16" t="s">
        <v>8</v>
      </c>
      <c r="G1406" s="38" t="str">
        <f>HYPERLINK("http://enext.ua/6671-137")</f>
        <v>http://enext.ua/6671-137</v>
      </c>
    </row>
    <row r="1407" spans="2:7" ht="11.25" outlineLevel="4" x14ac:dyDescent="0.2">
      <c r="B1407" s="14" t="s">
        <v>2686</v>
      </c>
      <c r="C1407" s="14" t="s">
        <v>2687</v>
      </c>
      <c r="D1407" s="14">
        <v>1</v>
      </c>
      <c r="E1407" s="15">
        <v>441.98</v>
      </c>
      <c r="F1407" s="16" t="s">
        <v>8</v>
      </c>
      <c r="G1407" s="38" t="str">
        <f>HYPERLINK("http://enext.ua/6661-205")</f>
        <v>http://enext.ua/6661-205</v>
      </c>
    </row>
    <row r="1408" spans="2:7" ht="11.25" outlineLevel="4" x14ac:dyDescent="0.2">
      <c r="B1408" s="14" t="s">
        <v>2688</v>
      </c>
      <c r="C1408" s="14" t="s">
        <v>2689</v>
      </c>
      <c r="D1408" s="14">
        <v>1</v>
      </c>
      <c r="E1408" s="15">
        <v>792.37</v>
      </c>
      <c r="F1408" s="16" t="s">
        <v>8</v>
      </c>
      <c r="G1408" s="38" t="str">
        <f>HYPERLINK("http://enext.ua/6662-209")</f>
        <v>http://enext.ua/6662-209</v>
      </c>
    </row>
    <row r="1409" spans="2:7" ht="11.25" outlineLevel="4" x14ac:dyDescent="0.2">
      <c r="B1409" s="14" t="s">
        <v>2690</v>
      </c>
      <c r="C1409" s="14" t="s">
        <v>2691</v>
      </c>
      <c r="D1409" s="14">
        <v>1</v>
      </c>
      <c r="E1409" s="15">
        <v>885.08</v>
      </c>
      <c r="F1409" s="16" t="s">
        <v>8</v>
      </c>
      <c r="G1409" s="38" t="str">
        <f>HYPERLINK("http://enext.ua/6663-213")</f>
        <v>http://enext.ua/6663-213</v>
      </c>
    </row>
    <row r="1410" spans="2:7" ht="11.25" outlineLevel="4" x14ac:dyDescent="0.2">
      <c r="B1410" s="14" t="s">
        <v>2692</v>
      </c>
      <c r="C1410" s="14" t="s">
        <v>2693</v>
      </c>
      <c r="D1410" s="14">
        <v>1</v>
      </c>
      <c r="E1410" s="17">
        <v>1029.33</v>
      </c>
      <c r="F1410" s="16" t="s">
        <v>8</v>
      </c>
      <c r="G1410" s="38" t="str">
        <f>HYPERLINK("http://enext.ua/6665-218")</f>
        <v>http://enext.ua/6665-218</v>
      </c>
    </row>
    <row r="1411" spans="2:7" ht="11.25" outlineLevel="4" x14ac:dyDescent="0.2">
      <c r="B1411" s="14" t="s">
        <v>2694</v>
      </c>
      <c r="C1411" s="14" t="s">
        <v>2695</v>
      </c>
      <c r="D1411" s="14">
        <v>1</v>
      </c>
      <c r="E1411" s="17">
        <v>1329.58</v>
      </c>
      <c r="F1411" s="16" t="s">
        <v>8</v>
      </c>
      <c r="G1411" s="38" t="str">
        <f>HYPERLINK("http://enext.ua/6664-226")</f>
        <v>http://enext.ua/6664-226</v>
      </c>
    </row>
    <row r="1412" spans="2:7" ht="11.25" outlineLevel="4" x14ac:dyDescent="0.2">
      <c r="B1412" s="14" t="s">
        <v>2696</v>
      </c>
      <c r="C1412" s="14" t="s">
        <v>2697</v>
      </c>
      <c r="D1412" s="14">
        <v>1</v>
      </c>
      <c r="E1412" s="17">
        <v>2357.2199999999998</v>
      </c>
      <c r="F1412" s="16" t="s">
        <v>8</v>
      </c>
      <c r="G1412" s="38" t="str">
        <f>HYPERLINK("http://enext.ua/6671-237")</f>
        <v>http://enext.ua/6671-237</v>
      </c>
    </row>
    <row r="1413" spans="2:7" ht="12" outlineLevel="3" x14ac:dyDescent="0.2">
      <c r="B1413" s="10"/>
      <c r="C1413" s="36" t="s">
        <v>2698</v>
      </c>
      <c r="D1413" s="10"/>
      <c r="E1413" s="11"/>
      <c r="F1413" s="11"/>
      <c r="G1413" s="10"/>
    </row>
    <row r="1414" spans="2:7" ht="11.25" outlineLevel="4" x14ac:dyDescent="0.2">
      <c r="B1414" s="14" t="s">
        <v>2699</v>
      </c>
      <c r="C1414" s="14" t="s">
        <v>2700</v>
      </c>
      <c r="D1414" s="14">
        <v>1</v>
      </c>
      <c r="E1414" s="15">
        <v>665.21</v>
      </c>
      <c r="F1414" s="16" t="s">
        <v>8</v>
      </c>
      <c r="G1414" s="14"/>
    </row>
    <row r="1415" spans="2:7" ht="11.25" outlineLevel="4" x14ac:dyDescent="0.2">
      <c r="B1415" s="14" t="s">
        <v>2701</v>
      </c>
      <c r="C1415" s="14" t="s">
        <v>2702</v>
      </c>
      <c r="D1415" s="14">
        <v>1</v>
      </c>
      <c r="E1415" s="15">
        <v>934.1</v>
      </c>
      <c r="F1415" s="16" t="s">
        <v>8</v>
      </c>
      <c r="G1415" s="14"/>
    </row>
    <row r="1416" spans="2:7" ht="11.25" outlineLevel="4" x14ac:dyDescent="0.2">
      <c r="B1416" s="14" t="s">
        <v>2703</v>
      </c>
      <c r="C1416" s="14" t="s">
        <v>2704</v>
      </c>
      <c r="D1416" s="14">
        <v>1</v>
      </c>
      <c r="E1416" s="17">
        <v>1012.07</v>
      </c>
      <c r="F1416" s="16" t="s">
        <v>8</v>
      </c>
      <c r="G1416" s="14"/>
    </row>
    <row r="1417" spans="2:7" ht="11.25" outlineLevel="4" x14ac:dyDescent="0.2">
      <c r="B1417" s="14" t="s">
        <v>2705</v>
      </c>
      <c r="C1417" s="14" t="s">
        <v>2706</v>
      </c>
      <c r="D1417" s="14">
        <v>1</v>
      </c>
      <c r="E1417" s="17">
        <v>2143.4499999999998</v>
      </c>
      <c r="F1417" s="16" t="s">
        <v>8</v>
      </c>
      <c r="G1417" s="14"/>
    </row>
    <row r="1418" spans="2:7" ht="11.25" outlineLevel="4" x14ac:dyDescent="0.2">
      <c r="B1418" s="14" t="s">
        <v>2707</v>
      </c>
      <c r="C1418" s="14" t="s">
        <v>2708</v>
      </c>
      <c r="D1418" s="14">
        <v>1</v>
      </c>
      <c r="E1418" s="17">
        <v>3084.61</v>
      </c>
      <c r="F1418" s="16" t="s">
        <v>8</v>
      </c>
      <c r="G1418" s="14"/>
    </row>
    <row r="1419" spans="2:7" ht="12" outlineLevel="3" x14ac:dyDescent="0.2">
      <c r="B1419" s="10"/>
      <c r="C1419" s="36" t="s">
        <v>2709</v>
      </c>
      <c r="D1419" s="10"/>
      <c r="E1419" s="11"/>
      <c r="F1419" s="11"/>
      <c r="G1419" s="10"/>
    </row>
    <row r="1420" spans="2:7" ht="12" outlineLevel="4" x14ac:dyDescent="0.2">
      <c r="B1420" s="12"/>
      <c r="C1420" s="37" t="s">
        <v>2710</v>
      </c>
      <c r="D1420" s="12"/>
      <c r="E1420" s="13"/>
      <c r="F1420" s="13"/>
      <c r="G1420" s="12"/>
    </row>
    <row r="1421" spans="2:7" ht="22.5" outlineLevel="5" x14ac:dyDescent="0.2">
      <c r="B1421" s="14" t="s">
        <v>2711</v>
      </c>
      <c r="C1421" s="14" t="s">
        <v>2712</v>
      </c>
      <c r="D1421" s="14">
        <v>1</v>
      </c>
      <c r="E1421" s="17">
        <v>5747.93</v>
      </c>
      <c r="F1421" s="16" t="s">
        <v>8</v>
      </c>
      <c r="G1421" s="38" t="str">
        <f>HYPERLINK("http://enext.ua/CP5502")</f>
        <v>http://enext.ua/CP5502</v>
      </c>
    </row>
    <row r="1422" spans="2:7" ht="12" outlineLevel="4" x14ac:dyDescent="0.2">
      <c r="B1422" s="12"/>
      <c r="C1422" s="37" t="s">
        <v>2713</v>
      </c>
      <c r="D1422" s="12"/>
      <c r="E1422" s="13"/>
      <c r="F1422" s="13"/>
      <c r="G1422" s="12"/>
    </row>
    <row r="1423" spans="2:7" ht="11.25" outlineLevel="5" x14ac:dyDescent="0.2">
      <c r="B1423" s="14" t="s">
        <v>2714</v>
      </c>
      <c r="C1423" s="14" t="s">
        <v>2715</v>
      </c>
      <c r="D1423" s="14">
        <v>1</v>
      </c>
      <c r="E1423" s="15">
        <v>731.4</v>
      </c>
      <c r="F1423" s="16" t="s">
        <v>8</v>
      </c>
      <c r="G1423" s="38" t="str">
        <f>HYPERLINK("http://enext.ua/CP5001")</f>
        <v>http://enext.ua/CP5001</v>
      </c>
    </row>
    <row r="1424" spans="2:7" ht="11.25" outlineLevel="5" x14ac:dyDescent="0.2">
      <c r="B1424" s="14" t="s">
        <v>2716</v>
      </c>
      <c r="C1424" s="14" t="s">
        <v>2717</v>
      </c>
      <c r="D1424" s="14">
        <v>1</v>
      </c>
      <c r="E1424" s="15">
        <v>865.8</v>
      </c>
      <c r="F1424" s="16" t="s">
        <v>8</v>
      </c>
      <c r="G1424" s="38" t="str">
        <f>HYPERLINK("http://enext.ua/CP5002")</f>
        <v>http://enext.ua/CP5002</v>
      </c>
    </row>
    <row r="1425" spans="2:7" ht="11.25" outlineLevel="5" x14ac:dyDescent="0.2">
      <c r="B1425" s="14" t="s">
        <v>2718</v>
      </c>
      <c r="C1425" s="14" t="s">
        <v>2719</v>
      </c>
      <c r="D1425" s="14">
        <v>1</v>
      </c>
      <c r="E1425" s="17">
        <v>1056.5999999999999</v>
      </c>
      <c r="F1425" s="16" t="s">
        <v>8</v>
      </c>
      <c r="G1425" s="38" t="str">
        <f>HYPERLINK("http://enext.ua/CP5003")</f>
        <v>http://enext.ua/CP5003</v>
      </c>
    </row>
    <row r="1426" spans="2:7" ht="11.25" outlineLevel="5" x14ac:dyDescent="0.2">
      <c r="B1426" s="14" t="s">
        <v>2720</v>
      </c>
      <c r="C1426" s="14" t="s">
        <v>2721</v>
      </c>
      <c r="D1426" s="14">
        <v>1</v>
      </c>
      <c r="E1426" s="17">
        <v>1385.1</v>
      </c>
      <c r="F1426" s="16" t="s">
        <v>8</v>
      </c>
      <c r="G1426" s="38" t="str">
        <f>HYPERLINK("http://enext.ua/CP5003D")</f>
        <v>http://enext.ua/CP5003D</v>
      </c>
    </row>
    <row r="1427" spans="2:7" ht="11.25" outlineLevel="5" x14ac:dyDescent="0.2">
      <c r="B1427" s="14" t="s">
        <v>2722</v>
      </c>
      <c r="C1427" s="14" t="s">
        <v>2723</v>
      </c>
      <c r="D1427" s="14">
        <v>1</v>
      </c>
      <c r="E1427" s="17">
        <v>1549.7</v>
      </c>
      <c r="F1427" s="16" t="s">
        <v>8</v>
      </c>
      <c r="G1427" s="38" t="str">
        <f>HYPERLINK("http://enext.ua/CP5007")</f>
        <v>http://enext.ua/CP5007</v>
      </c>
    </row>
    <row r="1428" spans="2:7" ht="11.25" outlineLevel="5" x14ac:dyDescent="0.2">
      <c r="B1428" s="14" t="s">
        <v>2724</v>
      </c>
      <c r="C1428" s="14" t="s">
        <v>2725</v>
      </c>
      <c r="D1428" s="14">
        <v>1</v>
      </c>
      <c r="E1428" s="17">
        <v>1722.5</v>
      </c>
      <c r="F1428" s="16" t="s">
        <v>8</v>
      </c>
      <c r="G1428" s="38" t="str">
        <f>HYPERLINK("http://enext.ua/CP5004")</f>
        <v>http://enext.ua/CP5004</v>
      </c>
    </row>
    <row r="1429" spans="2:7" ht="11.25" outlineLevel="5" x14ac:dyDescent="0.2">
      <c r="B1429" s="14" t="s">
        <v>2726</v>
      </c>
      <c r="C1429" s="14" t="s">
        <v>2727</v>
      </c>
      <c r="D1429" s="14">
        <v>1</v>
      </c>
      <c r="E1429" s="17">
        <v>1992</v>
      </c>
      <c r="F1429" s="16" t="s">
        <v>8</v>
      </c>
      <c r="G1429" s="38" t="str">
        <f>HYPERLINK("http://enext.ua/CP5005")</f>
        <v>http://enext.ua/CP5005</v>
      </c>
    </row>
    <row r="1430" spans="2:7" ht="11.25" outlineLevel="5" x14ac:dyDescent="0.2">
      <c r="B1430" s="14" t="s">
        <v>2728</v>
      </c>
      <c r="C1430" s="14" t="s">
        <v>2729</v>
      </c>
      <c r="D1430" s="14">
        <v>1</v>
      </c>
      <c r="E1430" s="17">
        <v>3723.6</v>
      </c>
      <c r="F1430" s="16" t="s">
        <v>8</v>
      </c>
      <c r="G1430" s="38" t="str">
        <f>HYPERLINK("http://enext.ua/CP5008")</f>
        <v>http://enext.ua/CP5008</v>
      </c>
    </row>
    <row r="1431" spans="2:7" ht="11.25" outlineLevel="5" x14ac:dyDescent="0.2">
      <c r="B1431" s="14" t="s">
        <v>2730</v>
      </c>
      <c r="C1431" s="14" t="s">
        <v>2731</v>
      </c>
      <c r="D1431" s="14">
        <v>1</v>
      </c>
      <c r="E1431" s="17">
        <v>4328.5600000000004</v>
      </c>
      <c r="F1431" s="16" t="s">
        <v>8</v>
      </c>
      <c r="G1431" s="38" t="str">
        <f>HYPERLINK("http://enext.ua/CP5006")</f>
        <v>http://enext.ua/CP5006</v>
      </c>
    </row>
    <row r="1432" spans="2:7" ht="11.25" outlineLevel="5" x14ac:dyDescent="0.2">
      <c r="B1432" s="14" t="s">
        <v>2732</v>
      </c>
      <c r="C1432" s="14" t="s">
        <v>2733</v>
      </c>
      <c r="D1432" s="14">
        <v>1</v>
      </c>
      <c r="E1432" s="17">
        <v>7968.2</v>
      </c>
      <c r="F1432" s="16" t="s">
        <v>8</v>
      </c>
      <c r="G1432" s="38" t="str">
        <f>HYPERLINK("http://enext.ua/CP5009")</f>
        <v>http://enext.ua/CP5009</v>
      </c>
    </row>
    <row r="1433" spans="2:7" ht="12" outlineLevel="4" x14ac:dyDescent="0.2">
      <c r="B1433" s="12"/>
      <c r="C1433" s="37" t="s">
        <v>2734</v>
      </c>
      <c r="D1433" s="12"/>
      <c r="E1433" s="13"/>
      <c r="F1433" s="13"/>
      <c r="G1433" s="12"/>
    </row>
    <row r="1434" spans="2:7" ht="22.5" outlineLevel="5" x14ac:dyDescent="0.2">
      <c r="B1434" s="14" t="s">
        <v>2735</v>
      </c>
      <c r="C1434" s="14" t="s">
        <v>2736</v>
      </c>
      <c r="D1434" s="14">
        <v>1</v>
      </c>
      <c r="E1434" s="17">
        <v>1028.01</v>
      </c>
      <c r="F1434" s="16" t="s">
        <v>8</v>
      </c>
      <c r="G1434" s="38" t="str">
        <f>HYPERLINK("http://enext.ua/CP5011")</f>
        <v>http://enext.ua/CP5011</v>
      </c>
    </row>
    <row r="1435" spans="2:7" ht="22.5" outlineLevel="5" x14ac:dyDescent="0.2">
      <c r="B1435" s="14" t="s">
        <v>2737</v>
      </c>
      <c r="C1435" s="14" t="s">
        <v>2738</v>
      </c>
      <c r="D1435" s="14">
        <v>1</v>
      </c>
      <c r="E1435" s="17">
        <v>1150.1400000000001</v>
      </c>
      <c r="F1435" s="16" t="s">
        <v>8</v>
      </c>
      <c r="G1435" s="38" t="str">
        <f>HYPERLINK("http://enext.ua/CP5012")</f>
        <v>http://enext.ua/CP5012</v>
      </c>
    </row>
    <row r="1436" spans="2:7" ht="22.5" outlineLevel="5" x14ac:dyDescent="0.2">
      <c r="B1436" s="14" t="s">
        <v>2739</v>
      </c>
      <c r="C1436" s="14" t="s">
        <v>2740</v>
      </c>
      <c r="D1436" s="14">
        <v>1</v>
      </c>
      <c r="E1436" s="17">
        <v>1482.25</v>
      </c>
      <c r="F1436" s="16" t="s">
        <v>8</v>
      </c>
      <c r="G1436" s="38" t="str">
        <f>HYPERLINK("http://enext.ua/CP5013")</f>
        <v>http://enext.ua/CP5013</v>
      </c>
    </row>
    <row r="1437" spans="2:7" ht="22.5" outlineLevel="5" x14ac:dyDescent="0.2">
      <c r="B1437" s="14" t="s">
        <v>2741</v>
      </c>
      <c r="C1437" s="14" t="s">
        <v>2742</v>
      </c>
      <c r="D1437" s="14">
        <v>1</v>
      </c>
      <c r="E1437" s="17">
        <v>1592.48</v>
      </c>
      <c r="F1437" s="16" t="s">
        <v>8</v>
      </c>
      <c r="G1437" s="38" t="str">
        <f>HYPERLINK("http://enext.ua/CP5013D")</f>
        <v>http://enext.ua/CP5013D</v>
      </c>
    </row>
    <row r="1438" spans="2:7" ht="22.5" outlineLevel="5" x14ac:dyDescent="0.2">
      <c r="B1438" s="14" t="s">
        <v>2743</v>
      </c>
      <c r="C1438" s="14" t="s">
        <v>2744</v>
      </c>
      <c r="D1438" s="14">
        <v>1</v>
      </c>
      <c r="E1438" s="17">
        <v>2012.44</v>
      </c>
      <c r="F1438" s="16" t="s">
        <v>8</v>
      </c>
      <c r="G1438" s="38" t="str">
        <f>HYPERLINK("http://enext.ua/CP5017")</f>
        <v>http://enext.ua/CP5017</v>
      </c>
    </row>
    <row r="1439" spans="2:7" ht="22.5" outlineLevel="5" x14ac:dyDescent="0.2">
      <c r="B1439" s="14" t="s">
        <v>2745</v>
      </c>
      <c r="C1439" s="14" t="s">
        <v>2746</v>
      </c>
      <c r="D1439" s="14">
        <v>1</v>
      </c>
      <c r="E1439" s="17">
        <v>2609.3000000000002</v>
      </c>
      <c r="F1439" s="16" t="s">
        <v>8</v>
      </c>
      <c r="G1439" s="38" t="str">
        <f>HYPERLINK("http://enext.ua/CP5014")</f>
        <v>http://enext.ua/CP5014</v>
      </c>
    </row>
    <row r="1440" spans="2:7" ht="22.5" outlineLevel="5" x14ac:dyDescent="0.2">
      <c r="B1440" s="14" t="s">
        <v>2747</v>
      </c>
      <c r="C1440" s="14" t="s">
        <v>2748</v>
      </c>
      <c r="D1440" s="14">
        <v>1</v>
      </c>
      <c r="E1440" s="17">
        <v>2740</v>
      </c>
      <c r="F1440" s="16" t="s">
        <v>8</v>
      </c>
      <c r="G1440" s="38" t="str">
        <f>HYPERLINK("http://enext.ua/CP5015")</f>
        <v>http://enext.ua/CP5015</v>
      </c>
    </row>
    <row r="1441" spans="2:7" ht="22.5" outlineLevel="5" x14ac:dyDescent="0.2">
      <c r="B1441" s="14" t="s">
        <v>2749</v>
      </c>
      <c r="C1441" s="14" t="s">
        <v>2750</v>
      </c>
      <c r="D1441" s="14">
        <v>1</v>
      </c>
      <c r="E1441" s="17">
        <v>4480.84</v>
      </c>
      <c r="F1441" s="16" t="s">
        <v>8</v>
      </c>
      <c r="G1441" s="38" t="str">
        <f>HYPERLINK("http://enext.ua/CP5018")</f>
        <v>http://enext.ua/CP5018</v>
      </c>
    </row>
    <row r="1442" spans="2:7" ht="22.5" outlineLevel="5" x14ac:dyDescent="0.2">
      <c r="B1442" s="14" t="s">
        <v>2751</v>
      </c>
      <c r="C1442" s="14" t="s">
        <v>2752</v>
      </c>
      <c r="D1442" s="14">
        <v>1</v>
      </c>
      <c r="E1442" s="17">
        <v>5217.76</v>
      </c>
      <c r="F1442" s="16" t="s">
        <v>8</v>
      </c>
      <c r="G1442" s="38" t="str">
        <f>HYPERLINK("http://enext.ua/CP5016")</f>
        <v>http://enext.ua/CP5016</v>
      </c>
    </row>
    <row r="1443" spans="2:7" ht="22.5" outlineLevel="5" x14ac:dyDescent="0.2">
      <c r="B1443" s="14" t="s">
        <v>2753</v>
      </c>
      <c r="C1443" s="14" t="s">
        <v>2754</v>
      </c>
      <c r="D1443" s="14">
        <v>1</v>
      </c>
      <c r="E1443" s="17">
        <v>8777.77</v>
      </c>
      <c r="F1443" s="16" t="s">
        <v>8</v>
      </c>
      <c r="G1443" s="38" t="str">
        <f>HYPERLINK("http://enext.ua/CP5019")</f>
        <v>http://enext.ua/CP5019</v>
      </c>
    </row>
    <row r="1444" spans="2:7" ht="24" outlineLevel="4" x14ac:dyDescent="0.2">
      <c r="B1444" s="12"/>
      <c r="C1444" s="37" t="s">
        <v>2755</v>
      </c>
      <c r="D1444" s="12"/>
      <c r="E1444" s="13"/>
      <c r="F1444" s="13"/>
      <c r="G1444" s="12"/>
    </row>
    <row r="1445" spans="2:7" ht="22.5" outlineLevel="5" x14ac:dyDescent="0.2">
      <c r="B1445" s="14" t="s">
        <v>2756</v>
      </c>
      <c r="C1445" s="14" t="s">
        <v>2757</v>
      </c>
      <c r="D1445" s="14">
        <v>1</v>
      </c>
      <c r="E1445" s="17">
        <v>1719.74</v>
      </c>
      <c r="F1445" s="16" t="s">
        <v>8</v>
      </c>
      <c r="G1445" s="38" t="str">
        <f>HYPERLINK("http://enext.ua/CP5201")</f>
        <v>http://enext.ua/CP5201</v>
      </c>
    </row>
    <row r="1446" spans="2:7" ht="22.5" outlineLevel="5" x14ac:dyDescent="0.2">
      <c r="B1446" s="14" t="s">
        <v>2758</v>
      </c>
      <c r="C1446" s="14" t="s">
        <v>2759</v>
      </c>
      <c r="D1446" s="14">
        <v>1</v>
      </c>
      <c r="E1446" s="17">
        <v>2263.67</v>
      </c>
      <c r="F1446" s="16" t="s">
        <v>8</v>
      </c>
      <c r="G1446" s="38" t="str">
        <f>HYPERLINK("http://enext.ua/CP5202")</f>
        <v>http://enext.ua/CP5202</v>
      </c>
    </row>
    <row r="1447" spans="2:7" ht="22.5" outlineLevel="5" x14ac:dyDescent="0.2">
      <c r="B1447" s="14" t="s">
        <v>2760</v>
      </c>
      <c r="C1447" s="14" t="s">
        <v>2761</v>
      </c>
      <c r="D1447" s="14">
        <v>1</v>
      </c>
      <c r="E1447" s="17">
        <v>3269.47</v>
      </c>
      <c r="F1447" s="16" t="s">
        <v>8</v>
      </c>
      <c r="G1447" s="38" t="str">
        <f>HYPERLINK("http://enext.ua/CP5203")</f>
        <v>http://enext.ua/CP5203</v>
      </c>
    </row>
    <row r="1448" spans="2:7" ht="22.5" outlineLevel="5" x14ac:dyDescent="0.2">
      <c r="B1448" s="14" t="s">
        <v>2762</v>
      </c>
      <c r="C1448" s="14" t="s">
        <v>2763</v>
      </c>
      <c r="D1448" s="14">
        <v>1</v>
      </c>
      <c r="E1448" s="17">
        <v>3916.18</v>
      </c>
      <c r="F1448" s="16" t="s">
        <v>8</v>
      </c>
      <c r="G1448" s="38" t="str">
        <f>HYPERLINK("http://enext.ua/CP5204")</f>
        <v>http://enext.ua/CP5204</v>
      </c>
    </row>
    <row r="1449" spans="2:7" ht="24" outlineLevel="4" x14ac:dyDescent="0.2">
      <c r="B1449" s="12"/>
      <c r="C1449" s="37" t="s">
        <v>2764</v>
      </c>
      <c r="D1449" s="12"/>
      <c r="E1449" s="13"/>
      <c r="F1449" s="13"/>
      <c r="G1449" s="12"/>
    </row>
    <row r="1450" spans="2:7" ht="22.5" outlineLevel="5" x14ac:dyDescent="0.2">
      <c r="B1450" s="14" t="s">
        <v>2765</v>
      </c>
      <c r="C1450" s="14" t="s">
        <v>2766</v>
      </c>
      <c r="D1450" s="14">
        <v>1</v>
      </c>
      <c r="E1450" s="17">
        <v>1796.21</v>
      </c>
      <c r="F1450" s="16" t="s">
        <v>8</v>
      </c>
      <c r="G1450" s="38" t="str">
        <f>HYPERLINK("http://enext.ua/CP5211")</f>
        <v>http://enext.ua/CP5211</v>
      </c>
    </row>
    <row r="1451" spans="2:7" ht="22.5" outlineLevel="5" x14ac:dyDescent="0.2">
      <c r="B1451" s="14" t="s">
        <v>2767</v>
      </c>
      <c r="C1451" s="14" t="s">
        <v>2768</v>
      </c>
      <c r="D1451" s="14">
        <v>1</v>
      </c>
      <c r="E1451" s="17">
        <v>1840.46</v>
      </c>
      <c r="F1451" s="16" t="s">
        <v>8</v>
      </c>
      <c r="G1451" s="38" t="str">
        <f>HYPERLINK("http://enext.ua/CP5212")</f>
        <v>http://enext.ua/CP5212</v>
      </c>
    </row>
    <row r="1452" spans="2:7" ht="22.5" outlineLevel="5" x14ac:dyDescent="0.2">
      <c r="B1452" s="14" t="s">
        <v>2769</v>
      </c>
      <c r="C1452" s="14" t="s">
        <v>2770</v>
      </c>
      <c r="D1452" s="14">
        <v>1</v>
      </c>
      <c r="E1452" s="17">
        <v>3439.47</v>
      </c>
      <c r="F1452" s="16" t="s">
        <v>8</v>
      </c>
      <c r="G1452" s="38" t="str">
        <f>HYPERLINK("http://enext.ua/CP5213")</f>
        <v>http://enext.ua/CP5213</v>
      </c>
    </row>
    <row r="1453" spans="2:7" ht="22.5" outlineLevel="5" x14ac:dyDescent="0.2">
      <c r="B1453" s="14" t="s">
        <v>2771</v>
      </c>
      <c r="C1453" s="14" t="s">
        <v>2772</v>
      </c>
      <c r="D1453" s="14">
        <v>1</v>
      </c>
      <c r="E1453" s="17">
        <v>3326.76</v>
      </c>
      <c r="F1453" s="16" t="s">
        <v>8</v>
      </c>
      <c r="G1453" s="38" t="str">
        <f>HYPERLINK("http://enext.ua/CP5214")</f>
        <v>http://enext.ua/CP5214</v>
      </c>
    </row>
    <row r="1454" spans="2:7" ht="12" outlineLevel="4" x14ac:dyDescent="0.2">
      <c r="B1454" s="12"/>
      <c r="C1454" s="37" t="s">
        <v>2773</v>
      </c>
      <c r="D1454" s="12"/>
      <c r="E1454" s="13"/>
      <c r="F1454" s="13"/>
      <c r="G1454" s="12"/>
    </row>
    <row r="1455" spans="2:7" ht="22.5" outlineLevel="5" x14ac:dyDescent="0.2">
      <c r="B1455" s="14" t="s">
        <v>2774</v>
      </c>
      <c r="C1455" s="14" t="s">
        <v>2775</v>
      </c>
      <c r="D1455" s="14">
        <v>1</v>
      </c>
      <c r="E1455" s="17">
        <v>1226.22</v>
      </c>
      <c r="F1455" s="16" t="s">
        <v>8</v>
      </c>
      <c r="G1455" s="38" t="str">
        <f>HYPERLINK("http://enext.ua/CP5101")</f>
        <v>http://enext.ua/CP5101</v>
      </c>
    </row>
    <row r="1456" spans="2:7" ht="22.5" outlineLevel="5" x14ac:dyDescent="0.2">
      <c r="B1456" s="14" t="s">
        <v>2776</v>
      </c>
      <c r="C1456" s="14" t="s">
        <v>2777</v>
      </c>
      <c r="D1456" s="14">
        <v>1</v>
      </c>
      <c r="E1456" s="17">
        <v>1505.75</v>
      </c>
      <c r="F1456" s="16" t="s">
        <v>8</v>
      </c>
      <c r="G1456" s="38" t="str">
        <f>HYPERLINK("http://enext.ua/CP5102")</f>
        <v>http://enext.ua/CP5102</v>
      </c>
    </row>
    <row r="1457" spans="2:7" ht="22.5" outlineLevel="5" x14ac:dyDescent="0.2">
      <c r="B1457" s="14" t="s">
        <v>2778</v>
      </c>
      <c r="C1457" s="14" t="s">
        <v>2779</v>
      </c>
      <c r="D1457" s="14">
        <v>1</v>
      </c>
      <c r="E1457" s="17">
        <v>2312.4</v>
      </c>
      <c r="F1457" s="16" t="s">
        <v>8</v>
      </c>
      <c r="G1457" s="38" t="str">
        <f>HYPERLINK("http://enext.ua/CP5103")</f>
        <v>http://enext.ua/CP5103</v>
      </c>
    </row>
    <row r="1458" spans="2:7" ht="22.5" outlineLevel="5" x14ac:dyDescent="0.2">
      <c r="B1458" s="14" t="s">
        <v>2780</v>
      </c>
      <c r="C1458" s="14" t="s">
        <v>2781</v>
      </c>
      <c r="D1458" s="14">
        <v>1</v>
      </c>
      <c r="E1458" s="17">
        <v>3378.42</v>
      </c>
      <c r="F1458" s="16" t="s">
        <v>8</v>
      </c>
      <c r="G1458" s="38" t="str">
        <f>HYPERLINK("http://enext.ua/CP5107")</f>
        <v>http://enext.ua/CP5107</v>
      </c>
    </row>
    <row r="1459" spans="2:7" ht="22.5" outlineLevel="5" x14ac:dyDescent="0.2">
      <c r="B1459" s="14" t="s">
        <v>2782</v>
      </c>
      <c r="C1459" s="14" t="s">
        <v>2783</v>
      </c>
      <c r="D1459" s="14">
        <v>1</v>
      </c>
      <c r="E1459" s="17">
        <v>3534.14</v>
      </c>
      <c r="F1459" s="16" t="s">
        <v>8</v>
      </c>
      <c r="G1459" s="38" t="str">
        <f>HYPERLINK("http://enext.ua/CP5104")</f>
        <v>http://enext.ua/CP5104</v>
      </c>
    </row>
    <row r="1460" spans="2:7" ht="22.5" outlineLevel="5" x14ac:dyDescent="0.2">
      <c r="B1460" s="14" t="s">
        <v>2784</v>
      </c>
      <c r="C1460" s="14" t="s">
        <v>2785</v>
      </c>
      <c r="D1460" s="14">
        <v>1</v>
      </c>
      <c r="E1460" s="17">
        <v>3967.16</v>
      </c>
      <c r="F1460" s="16" t="s">
        <v>8</v>
      </c>
      <c r="G1460" s="38" t="str">
        <f>HYPERLINK("http://enext.ua/CP5105")</f>
        <v>http://enext.ua/CP5105</v>
      </c>
    </row>
    <row r="1461" spans="2:7" ht="22.5" outlineLevel="5" x14ac:dyDescent="0.2">
      <c r="B1461" s="14" t="s">
        <v>2786</v>
      </c>
      <c r="C1461" s="14" t="s">
        <v>2787</v>
      </c>
      <c r="D1461" s="14">
        <v>1</v>
      </c>
      <c r="E1461" s="17">
        <v>9121.89</v>
      </c>
      <c r="F1461" s="16" t="s">
        <v>8</v>
      </c>
      <c r="G1461" s="38" t="str">
        <f>HYPERLINK("http://enext.ua/CP5106")</f>
        <v>http://enext.ua/CP5106</v>
      </c>
    </row>
    <row r="1462" spans="2:7" ht="12" outlineLevel="4" x14ac:dyDescent="0.2">
      <c r="B1462" s="12"/>
      <c r="C1462" s="37" t="s">
        <v>2788</v>
      </c>
      <c r="D1462" s="12"/>
      <c r="E1462" s="13"/>
      <c r="F1462" s="13"/>
      <c r="G1462" s="12"/>
    </row>
    <row r="1463" spans="2:7" ht="22.5" outlineLevel="5" x14ac:dyDescent="0.2">
      <c r="B1463" s="14" t="s">
        <v>2789</v>
      </c>
      <c r="C1463" s="14" t="s">
        <v>2790</v>
      </c>
      <c r="D1463" s="14">
        <v>1</v>
      </c>
      <c r="E1463" s="17">
        <v>1422.28</v>
      </c>
      <c r="F1463" s="16" t="s">
        <v>8</v>
      </c>
      <c r="G1463" s="38" t="str">
        <f>HYPERLINK("http://enext.ua/CP5111")</f>
        <v>http://enext.ua/CP5111</v>
      </c>
    </row>
    <row r="1464" spans="2:7" ht="22.5" outlineLevel="5" x14ac:dyDescent="0.2">
      <c r="B1464" s="14" t="s">
        <v>2791</v>
      </c>
      <c r="C1464" s="14" t="s">
        <v>2792</v>
      </c>
      <c r="D1464" s="14">
        <v>1</v>
      </c>
      <c r="E1464" s="17">
        <v>1756.99</v>
      </c>
      <c r="F1464" s="16" t="s">
        <v>8</v>
      </c>
      <c r="G1464" s="38" t="str">
        <f>HYPERLINK("http://enext.ua/CP5112")</f>
        <v>http://enext.ua/CP5112</v>
      </c>
    </row>
    <row r="1465" spans="2:7" ht="22.5" outlineLevel="5" x14ac:dyDescent="0.2">
      <c r="B1465" s="14" t="s">
        <v>2793</v>
      </c>
      <c r="C1465" s="14" t="s">
        <v>2794</v>
      </c>
      <c r="D1465" s="14">
        <v>1</v>
      </c>
      <c r="E1465" s="17">
        <v>2070.13</v>
      </c>
      <c r="F1465" s="16" t="s">
        <v>8</v>
      </c>
      <c r="G1465" s="38" t="str">
        <f>HYPERLINK("http://enext.ua/CP5113")</f>
        <v>http://enext.ua/CP5113</v>
      </c>
    </row>
    <row r="1466" spans="2:7" ht="22.5" outlineLevel="5" x14ac:dyDescent="0.2">
      <c r="B1466" s="14" t="s">
        <v>2795</v>
      </c>
      <c r="C1466" s="14" t="s">
        <v>2796</v>
      </c>
      <c r="D1466" s="14">
        <v>1</v>
      </c>
      <c r="E1466" s="17">
        <v>3178.72</v>
      </c>
      <c r="F1466" s="16" t="s">
        <v>8</v>
      </c>
      <c r="G1466" s="38" t="str">
        <f>HYPERLINK("http://enext.ua/CP5117")</f>
        <v>http://enext.ua/CP5117</v>
      </c>
    </row>
    <row r="1467" spans="2:7" ht="22.5" outlineLevel="5" x14ac:dyDescent="0.2">
      <c r="B1467" s="14" t="s">
        <v>2797</v>
      </c>
      <c r="C1467" s="14" t="s">
        <v>2798</v>
      </c>
      <c r="D1467" s="14">
        <v>1</v>
      </c>
      <c r="E1467" s="17">
        <v>3283.19</v>
      </c>
      <c r="F1467" s="16" t="s">
        <v>8</v>
      </c>
      <c r="G1467" s="38" t="str">
        <f>HYPERLINK("http://enext.ua/CP5114")</f>
        <v>http://enext.ua/CP5114</v>
      </c>
    </row>
    <row r="1468" spans="2:7" ht="22.5" outlineLevel="5" x14ac:dyDescent="0.2">
      <c r="B1468" s="14" t="s">
        <v>2799</v>
      </c>
      <c r="C1468" s="14" t="s">
        <v>2800</v>
      </c>
      <c r="D1468" s="14">
        <v>1</v>
      </c>
      <c r="E1468" s="17">
        <v>3722.09</v>
      </c>
      <c r="F1468" s="16" t="s">
        <v>8</v>
      </c>
      <c r="G1468" s="38" t="str">
        <f>HYPERLINK("http://enext.ua/CP5115")</f>
        <v>http://enext.ua/CP5115</v>
      </c>
    </row>
    <row r="1469" spans="2:7" ht="22.5" outlineLevel="5" x14ac:dyDescent="0.2">
      <c r="B1469" s="14" t="s">
        <v>2801</v>
      </c>
      <c r="C1469" s="14" t="s">
        <v>2802</v>
      </c>
      <c r="D1469" s="14">
        <v>1</v>
      </c>
      <c r="E1469" s="17">
        <v>8343.5300000000007</v>
      </c>
      <c r="F1469" s="16" t="s">
        <v>8</v>
      </c>
      <c r="G1469" s="38" t="str">
        <f>HYPERLINK("http://enext.ua/CP5116")</f>
        <v>http://enext.ua/CP5116</v>
      </c>
    </row>
    <row r="1470" spans="2:7" ht="12" outlineLevel="3" x14ac:dyDescent="0.2">
      <c r="B1470" s="10"/>
      <c r="C1470" s="36" t="s">
        <v>2803</v>
      </c>
      <c r="D1470" s="10"/>
      <c r="E1470" s="11"/>
      <c r="F1470" s="11"/>
      <c r="G1470" s="10"/>
    </row>
    <row r="1471" spans="2:7" ht="11.25" outlineLevel="4" x14ac:dyDescent="0.2">
      <c r="B1471" s="14" t="s">
        <v>2804</v>
      </c>
      <c r="C1471" s="14" t="s">
        <v>2805</v>
      </c>
      <c r="D1471" s="14">
        <v>1</v>
      </c>
      <c r="E1471" s="15">
        <v>590.4</v>
      </c>
      <c r="F1471" s="16" t="s">
        <v>8</v>
      </c>
      <c r="G1471" s="38" t="str">
        <f>HYPERLINK("http://enext.ua/i0600001")</f>
        <v>http://enext.ua/i0600001</v>
      </c>
    </row>
    <row r="1472" spans="2:7" ht="12" outlineLevel="3" x14ac:dyDescent="0.2">
      <c r="B1472" s="10"/>
      <c r="C1472" s="36" t="s">
        <v>2806</v>
      </c>
      <c r="D1472" s="10"/>
      <c r="E1472" s="11"/>
      <c r="F1472" s="11"/>
      <c r="G1472" s="10"/>
    </row>
    <row r="1473" spans="2:7" ht="22.5" outlineLevel="4" x14ac:dyDescent="0.2">
      <c r="B1473" s="14" t="s">
        <v>2807</v>
      </c>
      <c r="C1473" s="14" t="s">
        <v>2808</v>
      </c>
      <c r="D1473" s="14">
        <v>1</v>
      </c>
      <c r="E1473" s="15">
        <v>251.04</v>
      </c>
      <c r="F1473" s="16" t="s">
        <v>8</v>
      </c>
      <c r="G1473" s="38" t="str">
        <f>HYPERLINK("http://enext.ua/CP6000")</f>
        <v>http://enext.ua/CP6000</v>
      </c>
    </row>
    <row r="1474" spans="2:7" ht="22.5" outlineLevel="4" x14ac:dyDescent="0.2">
      <c r="B1474" s="14" t="s">
        <v>2809</v>
      </c>
      <c r="C1474" s="14" t="s">
        <v>2810</v>
      </c>
      <c r="D1474" s="14">
        <v>1</v>
      </c>
      <c r="E1474" s="15">
        <v>478.49</v>
      </c>
      <c r="F1474" s="16" t="s">
        <v>8</v>
      </c>
      <c r="G1474" s="14"/>
    </row>
    <row r="1475" spans="2:7" ht="22.5" outlineLevel="4" x14ac:dyDescent="0.2">
      <c r="B1475" s="14" t="s">
        <v>2811</v>
      </c>
      <c r="C1475" s="14" t="s">
        <v>2812</v>
      </c>
      <c r="D1475" s="14">
        <v>1</v>
      </c>
      <c r="E1475" s="17">
        <v>1559.8</v>
      </c>
      <c r="F1475" s="16" t="s">
        <v>8</v>
      </c>
      <c r="G1475" s="14"/>
    </row>
    <row r="1476" spans="2:7" ht="11.25" outlineLevel="4" x14ac:dyDescent="0.2">
      <c r="B1476" s="14" t="s">
        <v>2813</v>
      </c>
      <c r="C1476" s="14" t="s">
        <v>2814</v>
      </c>
      <c r="D1476" s="14">
        <v>1</v>
      </c>
      <c r="E1476" s="17">
        <v>2309.9499999999998</v>
      </c>
      <c r="F1476" s="16" t="s">
        <v>8</v>
      </c>
      <c r="G1476" s="14"/>
    </row>
    <row r="1477" spans="2:7" ht="12" outlineLevel="2" x14ac:dyDescent="0.2">
      <c r="B1477" s="8"/>
      <c r="C1477" s="35" t="s">
        <v>2815</v>
      </c>
      <c r="D1477" s="8"/>
      <c r="E1477" s="9"/>
      <c r="F1477" s="9"/>
      <c r="G1477" s="8"/>
    </row>
    <row r="1478" spans="2:7" ht="12" outlineLevel="3" x14ac:dyDescent="0.2">
      <c r="B1478" s="10"/>
      <c r="C1478" s="36" t="s">
        <v>2816</v>
      </c>
      <c r="D1478" s="10"/>
      <c r="E1478" s="11"/>
      <c r="F1478" s="11"/>
      <c r="G1478" s="10"/>
    </row>
    <row r="1479" spans="2:7" ht="12" outlineLevel="4" x14ac:dyDescent="0.2">
      <c r="B1479" s="12"/>
      <c r="C1479" s="37" t="s">
        <v>2817</v>
      </c>
      <c r="D1479" s="12"/>
      <c r="E1479" s="13"/>
      <c r="F1479" s="13"/>
      <c r="G1479" s="12"/>
    </row>
    <row r="1480" spans="2:7" ht="11.25" outlineLevel="5" x14ac:dyDescent="0.2">
      <c r="B1480" s="14" t="s">
        <v>2818</v>
      </c>
      <c r="C1480" s="14" t="s">
        <v>2819</v>
      </c>
      <c r="D1480" s="14">
        <v>1</v>
      </c>
      <c r="E1480" s="15">
        <v>178.69</v>
      </c>
      <c r="F1480" s="16" t="s">
        <v>8</v>
      </c>
      <c r="G1480" s="38" t="str">
        <f>HYPERLINK("http://enext.ua/s0100019")</f>
        <v>http://enext.ua/s0100019</v>
      </c>
    </row>
    <row r="1481" spans="2:7" ht="11.25" outlineLevel="5" x14ac:dyDescent="0.2">
      <c r="B1481" s="14" t="s">
        <v>2820</v>
      </c>
      <c r="C1481" s="14" t="s">
        <v>2821</v>
      </c>
      <c r="D1481" s="14">
        <v>1</v>
      </c>
      <c r="E1481" s="15">
        <v>190.04</v>
      </c>
      <c r="F1481" s="16" t="s">
        <v>8</v>
      </c>
      <c r="G1481" s="38" t="str">
        <f>HYPERLINK("http://enext.ua/s0100020")</f>
        <v>http://enext.ua/s0100020</v>
      </c>
    </row>
    <row r="1482" spans="2:7" ht="11.25" outlineLevel="5" x14ac:dyDescent="0.2">
      <c r="B1482" s="14" t="s">
        <v>2822</v>
      </c>
      <c r="C1482" s="14" t="s">
        <v>2823</v>
      </c>
      <c r="D1482" s="14">
        <v>1</v>
      </c>
      <c r="E1482" s="15">
        <v>212.73</v>
      </c>
      <c r="F1482" s="16" t="s">
        <v>8</v>
      </c>
      <c r="G1482" s="38" t="str">
        <f>HYPERLINK("http://enext.ua/s0100023")</f>
        <v>http://enext.ua/s0100023</v>
      </c>
    </row>
    <row r="1483" spans="2:7" ht="11.25" outlineLevel="5" x14ac:dyDescent="0.2">
      <c r="B1483" s="14" t="s">
        <v>2824</v>
      </c>
      <c r="C1483" s="14" t="s">
        <v>2825</v>
      </c>
      <c r="D1483" s="14">
        <v>1</v>
      </c>
      <c r="E1483" s="15">
        <v>271.64</v>
      </c>
      <c r="F1483" s="16" t="s">
        <v>8</v>
      </c>
      <c r="G1483" s="38" t="str">
        <f>HYPERLINK("http://enext.ua/s0100025")</f>
        <v>http://enext.ua/s0100025</v>
      </c>
    </row>
    <row r="1484" spans="2:7" ht="11.25" outlineLevel="5" x14ac:dyDescent="0.2">
      <c r="B1484" s="14" t="s">
        <v>2826</v>
      </c>
      <c r="C1484" s="14" t="s">
        <v>2827</v>
      </c>
      <c r="D1484" s="14">
        <v>1</v>
      </c>
      <c r="E1484" s="15">
        <v>372.12</v>
      </c>
      <c r="F1484" s="16" t="s">
        <v>8</v>
      </c>
      <c r="G1484" s="38" t="str">
        <f>HYPERLINK("http://enext.ua/s0100027")</f>
        <v>http://enext.ua/s0100027</v>
      </c>
    </row>
    <row r="1485" spans="2:7" ht="11.25" outlineLevel="5" x14ac:dyDescent="0.2">
      <c r="B1485" s="14" t="s">
        <v>2828</v>
      </c>
      <c r="C1485" s="14" t="s">
        <v>2829</v>
      </c>
      <c r="D1485" s="14">
        <v>1</v>
      </c>
      <c r="E1485" s="15">
        <v>419.78</v>
      </c>
      <c r="F1485" s="16" t="s">
        <v>8</v>
      </c>
      <c r="G1485" s="38" t="str">
        <f>HYPERLINK("http://enext.ua/s0100124")</f>
        <v>http://enext.ua/s0100124</v>
      </c>
    </row>
    <row r="1486" spans="2:7" ht="11.25" outlineLevel="5" x14ac:dyDescent="0.2">
      <c r="B1486" s="14" t="s">
        <v>2830</v>
      </c>
      <c r="C1486" s="14" t="s">
        <v>2831</v>
      </c>
      <c r="D1486" s="14">
        <v>1</v>
      </c>
      <c r="E1486" s="15">
        <v>213.49</v>
      </c>
      <c r="F1486" s="16" t="s">
        <v>8</v>
      </c>
      <c r="G1486" s="38" t="str">
        <f>HYPERLINK("http://enext.ua/s0100127")</f>
        <v>http://enext.ua/s0100127</v>
      </c>
    </row>
    <row r="1487" spans="2:7" ht="11.25" outlineLevel="5" x14ac:dyDescent="0.2">
      <c r="B1487" s="14" t="s">
        <v>2832</v>
      </c>
      <c r="C1487" s="14" t="s">
        <v>2833</v>
      </c>
      <c r="D1487" s="14">
        <v>1</v>
      </c>
      <c r="E1487" s="15">
        <v>232.58</v>
      </c>
      <c r="F1487" s="16" t="s">
        <v>8</v>
      </c>
      <c r="G1487" s="38" t="str">
        <f>HYPERLINK("http://enext.ua/s0100128")</f>
        <v>http://enext.ua/s0100128</v>
      </c>
    </row>
    <row r="1488" spans="2:7" ht="11.25" outlineLevel="5" x14ac:dyDescent="0.2">
      <c r="B1488" s="14" t="s">
        <v>2834</v>
      </c>
      <c r="C1488" s="14" t="s">
        <v>2835</v>
      </c>
      <c r="D1488" s="14">
        <v>1</v>
      </c>
      <c r="E1488" s="15">
        <v>252.43</v>
      </c>
      <c r="F1488" s="16" t="s">
        <v>8</v>
      </c>
      <c r="G1488" s="38" t="str">
        <f>HYPERLINK("http://enext.ua/s0100129")</f>
        <v>http://enext.ua/s0100129</v>
      </c>
    </row>
    <row r="1489" spans="2:7" ht="11.25" outlineLevel="5" x14ac:dyDescent="0.2">
      <c r="B1489" s="14" t="s">
        <v>2836</v>
      </c>
      <c r="C1489" s="14" t="s">
        <v>2837</v>
      </c>
      <c r="D1489" s="14">
        <v>1</v>
      </c>
      <c r="E1489" s="15">
        <v>272.29000000000002</v>
      </c>
      <c r="F1489" s="16" t="s">
        <v>8</v>
      </c>
      <c r="G1489" s="38" t="str">
        <f>HYPERLINK("http://enext.ua/s0100130")</f>
        <v>http://enext.ua/s0100130</v>
      </c>
    </row>
    <row r="1490" spans="2:7" ht="11.25" outlineLevel="5" x14ac:dyDescent="0.2">
      <c r="B1490" s="14" t="s">
        <v>2838</v>
      </c>
      <c r="C1490" s="14" t="s">
        <v>2839</v>
      </c>
      <c r="D1490" s="14">
        <v>1</v>
      </c>
      <c r="E1490" s="15">
        <v>178.69</v>
      </c>
      <c r="F1490" s="16" t="s">
        <v>8</v>
      </c>
      <c r="G1490" s="38" t="str">
        <f>HYPERLINK("http://enext.ua/s0100018")</f>
        <v>http://enext.ua/s0100018</v>
      </c>
    </row>
    <row r="1491" spans="2:7" ht="11.25" outlineLevel="5" x14ac:dyDescent="0.2">
      <c r="B1491" s="14" t="s">
        <v>2840</v>
      </c>
      <c r="C1491" s="14" t="s">
        <v>2841</v>
      </c>
      <c r="D1491" s="14">
        <v>1</v>
      </c>
      <c r="E1491" s="15">
        <v>190.04</v>
      </c>
      <c r="F1491" s="16" t="s">
        <v>8</v>
      </c>
      <c r="G1491" s="38" t="str">
        <f>HYPERLINK("http://enext.ua/s0100021")</f>
        <v>http://enext.ua/s0100021</v>
      </c>
    </row>
    <row r="1492" spans="2:7" ht="11.25" outlineLevel="5" x14ac:dyDescent="0.2">
      <c r="B1492" s="14" t="s">
        <v>2842</v>
      </c>
      <c r="C1492" s="14" t="s">
        <v>2843</v>
      </c>
      <c r="D1492" s="14">
        <v>1</v>
      </c>
      <c r="E1492" s="15">
        <v>212.73</v>
      </c>
      <c r="F1492" s="16" t="s">
        <v>8</v>
      </c>
      <c r="G1492" s="38" t="str">
        <f>HYPERLINK("http://enext.ua/s0100022")</f>
        <v>http://enext.ua/s0100022</v>
      </c>
    </row>
    <row r="1493" spans="2:7" ht="11.25" outlineLevel="5" x14ac:dyDescent="0.2">
      <c r="B1493" s="14" t="s">
        <v>2844</v>
      </c>
      <c r="C1493" s="14" t="s">
        <v>2845</v>
      </c>
      <c r="D1493" s="14">
        <v>1</v>
      </c>
      <c r="E1493" s="15">
        <v>271.64</v>
      </c>
      <c r="F1493" s="16" t="s">
        <v>8</v>
      </c>
      <c r="G1493" s="38" t="str">
        <f>HYPERLINK("http://enext.ua/s0100024")</f>
        <v>http://enext.ua/s0100024</v>
      </c>
    </row>
    <row r="1494" spans="2:7" ht="11.25" outlineLevel="5" x14ac:dyDescent="0.2">
      <c r="B1494" s="14" t="s">
        <v>2846</v>
      </c>
      <c r="C1494" s="14" t="s">
        <v>2847</v>
      </c>
      <c r="D1494" s="14">
        <v>1</v>
      </c>
      <c r="E1494" s="15">
        <v>372.12</v>
      </c>
      <c r="F1494" s="16" t="s">
        <v>8</v>
      </c>
      <c r="G1494" s="38" t="str">
        <f>HYPERLINK("http://enext.ua/s0100026")</f>
        <v>http://enext.ua/s0100026</v>
      </c>
    </row>
    <row r="1495" spans="2:7" ht="11.25" outlineLevel="5" x14ac:dyDescent="0.2">
      <c r="B1495" s="14" t="s">
        <v>2848</v>
      </c>
      <c r="C1495" s="14" t="s">
        <v>2849</v>
      </c>
      <c r="D1495" s="14">
        <v>1</v>
      </c>
      <c r="E1495" s="15">
        <v>419.78</v>
      </c>
      <c r="F1495" s="16" t="s">
        <v>8</v>
      </c>
      <c r="G1495" s="38" t="str">
        <f>HYPERLINK("http://enext.ua/s0100125")</f>
        <v>http://enext.ua/s0100125</v>
      </c>
    </row>
    <row r="1496" spans="2:7" ht="12" outlineLevel="4" x14ac:dyDescent="0.2">
      <c r="B1496" s="12"/>
      <c r="C1496" s="37" t="s">
        <v>2850</v>
      </c>
      <c r="D1496" s="12"/>
      <c r="E1496" s="13"/>
      <c r="F1496" s="13"/>
      <c r="G1496" s="12"/>
    </row>
    <row r="1497" spans="2:7" ht="11.25" outlineLevel="5" x14ac:dyDescent="0.2">
      <c r="B1497" s="14" t="s">
        <v>2851</v>
      </c>
      <c r="C1497" s="14" t="s">
        <v>2852</v>
      </c>
      <c r="D1497" s="14">
        <v>1</v>
      </c>
      <c r="E1497" s="15">
        <v>432.82</v>
      </c>
      <c r="F1497" s="16" t="s">
        <v>8</v>
      </c>
      <c r="G1497" s="38" t="str">
        <f>HYPERLINK("http://enext.ua/s0100201")</f>
        <v>http://enext.ua/s0100201</v>
      </c>
    </row>
    <row r="1498" spans="2:7" ht="11.25" outlineLevel="5" x14ac:dyDescent="0.2">
      <c r="B1498" s="14" t="s">
        <v>2853</v>
      </c>
      <c r="C1498" s="14" t="s">
        <v>2854</v>
      </c>
      <c r="D1498" s="14">
        <v>1</v>
      </c>
      <c r="E1498" s="15">
        <v>556.36</v>
      </c>
      <c r="F1498" s="16" t="s">
        <v>8</v>
      </c>
      <c r="G1498" s="38" t="str">
        <f>HYPERLINK("http://enext.ua/s0100202")</f>
        <v>http://enext.ua/s0100202</v>
      </c>
    </row>
    <row r="1499" spans="2:7" ht="11.25" outlineLevel="5" x14ac:dyDescent="0.2">
      <c r="B1499" s="14" t="s">
        <v>2855</v>
      </c>
      <c r="C1499" s="14" t="s">
        <v>2856</v>
      </c>
      <c r="D1499" s="14">
        <v>1</v>
      </c>
      <c r="E1499" s="15">
        <v>565.38</v>
      </c>
      <c r="F1499" s="16" t="s">
        <v>8</v>
      </c>
      <c r="G1499" s="38" t="str">
        <f>HYPERLINK("http://enext.ua/s0100203")</f>
        <v>http://enext.ua/s0100203</v>
      </c>
    </row>
    <row r="1500" spans="2:7" ht="11.25" outlineLevel="5" x14ac:dyDescent="0.2">
      <c r="B1500" s="14" t="s">
        <v>2857</v>
      </c>
      <c r="C1500" s="14" t="s">
        <v>2858</v>
      </c>
      <c r="D1500" s="14">
        <v>1</v>
      </c>
      <c r="E1500" s="15">
        <v>760.54</v>
      </c>
      <c r="F1500" s="16" t="s">
        <v>8</v>
      </c>
      <c r="G1500" s="38" t="str">
        <f>HYPERLINK("http://enext.ua/s0100204")</f>
        <v>http://enext.ua/s0100204</v>
      </c>
    </row>
    <row r="1501" spans="2:7" ht="11.25" outlineLevel="5" x14ac:dyDescent="0.2">
      <c r="B1501" s="14" t="s">
        <v>2859</v>
      </c>
      <c r="C1501" s="14" t="s">
        <v>2860</v>
      </c>
      <c r="D1501" s="14">
        <v>1</v>
      </c>
      <c r="E1501" s="15">
        <v>878.18</v>
      </c>
      <c r="F1501" s="16" t="s">
        <v>8</v>
      </c>
      <c r="G1501" s="38" t="str">
        <f>HYPERLINK("http://enext.ua/s0100205")</f>
        <v>http://enext.ua/s0100205</v>
      </c>
    </row>
    <row r="1502" spans="2:7" ht="11.25" outlineLevel="5" x14ac:dyDescent="0.2">
      <c r="B1502" s="14" t="s">
        <v>2861</v>
      </c>
      <c r="C1502" s="14" t="s">
        <v>2862</v>
      </c>
      <c r="D1502" s="14">
        <v>1</v>
      </c>
      <c r="E1502" s="17">
        <v>1078.9100000000001</v>
      </c>
      <c r="F1502" s="16" t="s">
        <v>8</v>
      </c>
      <c r="G1502" s="38" t="str">
        <f>HYPERLINK("http://enext.ua/s0100206")</f>
        <v>http://enext.ua/s0100206</v>
      </c>
    </row>
    <row r="1503" spans="2:7" ht="11.25" outlineLevel="5" x14ac:dyDescent="0.2">
      <c r="B1503" s="14" t="s">
        <v>2863</v>
      </c>
      <c r="C1503" s="14" t="s">
        <v>2864</v>
      </c>
      <c r="D1503" s="14">
        <v>1</v>
      </c>
      <c r="E1503" s="17">
        <v>1463.64</v>
      </c>
      <c r="F1503" s="16" t="s">
        <v>8</v>
      </c>
      <c r="G1503" s="38" t="str">
        <f>HYPERLINK("http://enext.ua/s0100207")</f>
        <v>http://enext.ua/s0100207</v>
      </c>
    </row>
    <row r="1504" spans="2:7" ht="11.25" outlineLevel="5" x14ac:dyDescent="0.2">
      <c r="B1504" s="14" t="s">
        <v>2865</v>
      </c>
      <c r="C1504" s="14" t="s">
        <v>2866</v>
      </c>
      <c r="D1504" s="14">
        <v>1</v>
      </c>
      <c r="E1504" s="15">
        <v>432.82</v>
      </c>
      <c r="F1504" s="16" t="s">
        <v>8</v>
      </c>
      <c r="G1504" s="38" t="str">
        <f>HYPERLINK("http://enext.ua/s0100208")</f>
        <v>http://enext.ua/s0100208</v>
      </c>
    </row>
    <row r="1505" spans="2:7" ht="11.25" outlineLevel="5" x14ac:dyDescent="0.2">
      <c r="B1505" s="14" t="s">
        <v>2867</v>
      </c>
      <c r="C1505" s="14" t="s">
        <v>2868</v>
      </c>
      <c r="D1505" s="14">
        <v>1</v>
      </c>
      <c r="E1505" s="15">
        <v>556.36</v>
      </c>
      <c r="F1505" s="16" t="s">
        <v>8</v>
      </c>
      <c r="G1505" s="38" t="str">
        <f>HYPERLINK("http://enext.ua/s0100209")</f>
        <v>http://enext.ua/s0100209</v>
      </c>
    </row>
    <row r="1506" spans="2:7" ht="11.25" outlineLevel="5" x14ac:dyDescent="0.2">
      <c r="B1506" s="14" t="s">
        <v>2869</v>
      </c>
      <c r="C1506" s="14" t="s">
        <v>2870</v>
      </c>
      <c r="D1506" s="14">
        <v>1</v>
      </c>
      <c r="E1506" s="15">
        <v>588</v>
      </c>
      <c r="F1506" s="16" t="s">
        <v>8</v>
      </c>
      <c r="G1506" s="38" t="str">
        <f>HYPERLINK("http://enext.ua/s0100210")</f>
        <v>http://enext.ua/s0100210</v>
      </c>
    </row>
    <row r="1507" spans="2:7" ht="11.25" outlineLevel="5" x14ac:dyDescent="0.2">
      <c r="B1507" s="14" t="s">
        <v>2871</v>
      </c>
      <c r="C1507" s="14" t="s">
        <v>2872</v>
      </c>
      <c r="D1507" s="14">
        <v>1</v>
      </c>
      <c r="E1507" s="15">
        <v>784</v>
      </c>
      <c r="F1507" s="16" t="s">
        <v>8</v>
      </c>
      <c r="G1507" s="38" t="str">
        <f>HYPERLINK("http://enext.ua/s0100211")</f>
        <v>http://enext.ua/s0100211</v>
      </c>
    </row>
    <row r="1508" spans="2:7" ht="11.25" outlineLevel="5" x14ac:dyDescent="0.2">
      <c r="B1508" s="14" t="s">
        <v>2873</v>
      </c>
      <c r="C1508" s="14" t="s">
        <v>2874</v>
      </c>
      <c r="D1508" s="14">
        <v>1</v>
      </c>
      <c r="E1508" s="15">
        <v>834.27</v>
      </c>
      <c r="F1508" s="16" t="s">
        <v>8</v>
      </c>
      <c r="G1508" s="38" t="str">
        <f>HYPERLINK("http://enext.ua/s0100212")</f>
        <v>http://enext.ua/s0100212</v>
      </c>
    </row>
    <row r="1509" spans="2:7" ht="11.25" outlineLevel="5" x14ac:dyDescent="0.2">
      <c r="B1509" s="14" t="s">
        <v>2875</v>
      </c>
      <c r="C1509" s="14" t="s">
        <v>2876</v>
      </c>
      <c r="D1509" s="14">
        <v>1</v>
      </c>
      <c r="E1509" s="17">
        <v>1024.96</v>
      </c>
      <c r="F1509" s="16" t="s">
        <v>8</v>
      </c>
      <c r="G1509" s="38" t="str">
        <f>HYPERLINK("http://enext.ua/s0100213")</f>
        <v>http://enext.ua/s0100213</v>
      </c>
    </row>
    <row r="1510" spans="2:7" ht="11.25" outlineLevel="5" x14ac:dyDescent="0.2">
      <c r="B1510" s="14" t="s">
        <v>2877</v>
      </c>
      <c r="C1510" s="14" t="s">
        <v>2878</v>
      </c>
      <c r="D1510" s="14">
        <v>1</v>
      </c>
      <c r="E1510" s="17">
        <v>1390.45</v>
      </c>
      <c r="F1510" s="16" t="s">
        <v>8</v>
      </c>
      <c r="G1510" s="38" t="str">
        <f>HYPERLINK("http://enext.ua/s0100214")</f>
        <v>http://enext.ua/s0100214</v>
      </c>
    </row>
    <row r="1511" spans="2:7" ht="11.25" outlineLevel="5" x14ac:dyDescent="0.2">
      <c r="B1511" s="14" t="s">
        <v>2879</v>
      </c>
      <c r="C1511" s="14" t="s">
        <v>2880</v>
      </c>
      <c r="D1511" s="14">
        <v>1</v>
      </c>
      <c r="E1511" s="15">
        <v>813.64</v>
      </c>
      <c r="F1511" s="16" t="s">
        <v>8</v>
      </c>
      <c r="G1511" s="38" t="str">
        <f>HYPERLINK("http://enext.ua/s0100215")</f>
        <v>http://enext.ua/s0100215</v>
      </c>
    </row>
    <row r="1512" spans="2:7" ht="11.25" outlineLevel="5" x14ac:dyDescent="0.2">
      <c r="B1512" s="14" t="s">
        <v>2881</v>
      </c>
      <c r="C1512" s="14" t="s">
        <v>2882</v>
      </c>
      <c r="D1512" s="14">
        <v>1</v>
      </c>
      <c r="E1512" s="15">
        <v>968.18</v>
      </c>
      <c r="F1512" s="16" t="s">
        <v>8</v>
      </c>
      <c r="G1512" s="38" t="str">
        <f>HYPERLINK("http://enext.ua/s0100216")</f>
        <v>http://enext.ua/s0100216</v>
      </c>
    </row>
    <row r="1513" spans="2:7" ht="11.25" outlineLevel="5" x14ac:dyDescent="0.2">
      <c r="B1513" s="14" t="s">
        <v>2883</v>
      </c>
      <c r="C1513" s="14" t="s">
        <v>2884</v>
      </c>
      <c r="D1513" s="14">
        <v>1</v>
      </c>
      <c r="E1513" s="17">
        <v>1159.0899999999999</v>
      </c>
      <c r="F1513" s="16" t="s">
        <v>8</v>
      </c>
      <c r="G1513" s="38" t="str">
        <f>HYPERLINK("http://enext.ua/s0100217")</f>
        <v>http://enext.ua/s0100217</v>
      </c>
    </row>
    <row r="1514" spans="2:7" ht="12" outlineLevel="4" x14ac:dyDescent="0.2">
      <c r="B1514" s="12"/>
      <c r="C1514" s="37" t="s">
        <v>2885</v>
      </c>
      <c r="D1514" s="12"/>
      <c r="E1514" s="13"/>
      <c r="F1514" s="13"/>
      <c r="G1514" s="12"/>
    </row>
    <row r="1515" spans="2:7" ht="22.5" outlineLevel="5" x14ac:dyDescent="0.2">
      <c r="B1515" s="14" t="s">
        <v>2886</v>
      </c>
      <c r="C1515" s="14" t="s">
        <v>2887</v>
      </c>
      <c r="D1515" s="14">
        <v>1</v>
      </c>
      <c r="E1515" s="15">
        <v>183.81</v>
      </c>
      <c r="F1515" s="16" t="s">
        <v>8</v>
      </c>
      <c r="G1515" s="14"/>
    </row>
    <row r="1516" spans="2:7" ht="22.5" outlineLevel="5" x14ac:dyDescent="0.2">
      <c r="B1516" s="14" t="s">
        <v>2888</v>
      </c>
      <c r="C1516" s="14" t="s">
        <v>2889</v>
      </c>
      <c r="D1516" s="14">
        <v>1</v>
      </c>
      <c r="E1516" s="15">
        <v>212.08</v>
      </c>
      <c r="F1516" s="16" t="s">
        <v>8</v>
      </c>
      <c r="G1516" s="14"/>
    </row>
    <row r="1517" spans="2:7" ht="11.25" outlineLevel="5" x14ac:dyDescent="0.2">
      <c r="B1517" s="14" t="s">
        <v>2890</v>
      </c>
      <c r="C1517" s="14" t="s">
        <v>2891</v>
      </c>
      <c r="D1517" s="14">
        <v>1</v>
      </c>
      <c r="E1517" s="15">
        <v>248.24</v>
      </c>
      <c r="F1517" s="16" t="s">
        <v>8</v>
      </c>
      <c r="G1517" s="14"/>
    </row>
    <row r="1518" spans="2:7" ht="11.25" outlineLevel="5" x14ac:dyDescent="0.2">
      <c r="B1518" s="14" t="s">
        <v>2892</v>
      </c>
      <c r="C1518" s="14" t="s">
        <v>2893</v>
      </c>
      <c r="D1518" s="14">
        <v>1</v>
      </c>
      <c r="E1518" s="15">
        <v>282.77</v>
      </c>
      <c r="F1518" s="16" t="s">
        <v>8</v>
      </c>
      <c r="G1518" s="14"/>
    </row>
    <row r="1519" spans="2:7" ht="22.5" outlineLevel="5" x14ac:dyDescent="0.2">
      <c r="B1519" s="14" t="s">
        <v>2894</v>
      </c>
      <c r="C1519" s="14" t="s">
        <v>2895</v>
      </c>
      <c r="D1519" s="14">
        <v>1</v>
      </c>
      <c r="E1519" s="15">
        <v>311.04000000000002</v>
      </c>
      <c r="F1519" s="16" t="s">
        <v>8</v>
      </c>
      <c r="G1519" s="14"/>
    </row>
    <row r="1520" spans="2:7" ht="22.5" outlineLevel="5" x14ac:dyDescent="0.2">
      <c r="B1520" s="14" t="s">
        <v>2896</v>
      </c>
      <c r="C1520" s="14" t="s">
        <v>2897</v>
      </c>
      <c r="D1520" s="14">
        <v>1</v>
      </c>
      <c r="E1520" s="15">
        <v>381.74</v>
      </c>
      <c r="F1520" s="16" t="s">
        <v>8</v>
      </c>
      <c r="G1520" s="14"/>
    </row>
    <row r="1521" spans="2:7" ht="22.5" outlineLevel="5" x14ac:dyDescent="0.2">
      <c r="B1521" s="14" t="s">
        <v>2898</v>
      </c>
      <c r="C1521" s="14" t="s">
        <v>2899</v>
      </c>
      <c r="D1521" s="14">
        <v>1</v>
      </c>
      <c r="E1521" s="15">
        <v>494.83</v>
      </c>
      <c r="F1521" s="16" t="s">
        <v>8</v>
      </c>
      <c r="G1521" s="14"/>
    </row>
    <row r="1522" spans="2:7" ht="22.5" outlineLevel="5" x14ac:dyDescent="0.2">
      <c r="B1522" s="14" t="s">
        <v>2900</v>
      </c>
      <c r="C1522" s="14" t="s">
        <v>2901</v>
      </c>
      <c r="D1522" s="14">
        <v>1</v>
      </c>
      <c r="E1522" s="15">
        <v>650.37</v>
      </c>
      <c r="F1522" s="16" t="s">
        <v>8</v>
      </c>
      <c r="G1522" s="14"/>
    </row>
    <row r="1523" spans="2:7" ht="11.25" outlineLevel="5" x14ac:dyDescent="0.2">
      <c r="B1523" s="14" t="s">
        <v>2902</v>
      </c>
      <c r="C1523" s="14" t="s">
        <v>2903</v>
      </c>
      <c r="D1523" s="14">
        <v>1</v>
      </c>
      <c r="E1523" s="15">
        <v>749.33</v>
      </c>
      <c r="F1523" s="16" t="s">
        <v>8</v>
      </c>
      <c r="G1523" s="14"/>
    </row>
    <row r="1524" spans="2:7" ht="11.25" outlineLevel="5" x14ac:dyDescent="0.2">
      <c r="B1524" s="14" t="s">
        <v>2904</v>
      </c>
      <c r="C1524" s="14" t="s">
        <v>2905</v>
      </c>
      <c r="D1524" s="14">
        <v>1</v>
      </c>
      <c r="E1524" s="17">
        <v>1802.62</v>
      </c>
      <c r="F1524" s="16" t="s">
        <v>8</v>
      </c>
      <c r="G1524" s="38" t="str">
        <f>HYPERLINK("http://enext.ua/ЩО-72В")</f>
        <v>http://enext.ua/ЩО-72В</v>
      </c>
    </row>
    <row r="1525" spans="2:7" ht="11.25" outlineLevel="5" x14ac:dyDescent="0.2">
      <c r="B1525" s="14" t="s">
        <v>2906</v>
      </c>
      <c r="C1525" s="14" t="s">
        <v>2907</v>
      </c>
      <c r="D1525" s="14">
        <v>1</v>
      </c>
      <c r="E1525" s="15">
        <v>212.07</v>
      </c>
      <c r="F1525" s="16" t="s">
        <v>8</v>
      </c>
      <c r="G1525" s="14"/>
    </row>
    <row r="1526" spans="2:7" ht="11.25" outlineLevel="5" x14ac:dyDescent="0.2">
      <c r="B1526" s="14" t="s">
        <v>2908</v>
      </c>
      <c r="C1526" s="14" t="s">
        <v>2909</v>
      </c>
      <c r="D1526" s="14">
        <v>1</v>
      </c>
      <c r="E1526" s="15">
        <v>275.69</v>
      </c>
      <c r="F1526" s="16" t="s">
        <v>8</v>
      </c>
      <c r="G1526" s="14"/>
    </row>
    <row r="1527" spans="2:7" ht="11.25" outlineLevel="5" x14ac:dyDescent="0.2">
      <c r="B1527" s="14" t="s">
        <v>2910</v>
      </c>
      <c r="C1527" s="14" t="s">
        <v>2911</v>
      </c>
      <c r="D1527" s="14">
        <v>1</v>
      </c>
      <c r="E1527" s="15">
        <v>296.89999999999998</v>
      </c>
      <c r="F1527" s="16" t="s">
        <v>8</v>
      </c>
      <c r="G1527" s="14"/>
    </row>
    <row r="1528" spans="2:7" ht="11.25" outlineLevel="5" x14ac:dyDescent="0.2">
      <c r="B1528" s="14" t="s">
        <v>2912</v>
      </c>
      <c r="C1528" s="14" t="s">
        <v>2913</v>
      </c>
      <c r="D1528" s="14">
        <v>1</v>
      </c>
      <c r="E1528" s="15">
        <v>311.04000000000002</v>
      </c>
      <c r="F1528" s="16" t="s">
        <v>8</v>
      </c>
      <c r="G1528" s="14"/>
    </row>
    <row r="1529" spans="2:7" ht="11.25" outlineLevel="5" x14ac:dyDescent="0.2">
      <c r="B1529" s="14" t="s">
        <v>2914</v>
      </c>
      <c r="C1529" s="14" t="s">
        <v>2915</v>
      </c>
      <c r="D1529" s="14">
        <v>1</v>
      </c>
      <c r="E1529" s="15">
        <v>339.31</v>
      </c>
      <c r="F1529" s="16" t="s">
        <v>8</v>
      </c>
      <c r="G1529" s="14"/>
    </row>
    <row r="1530" spans="2:7" ht="11.25" outlineLevel="5" x14ac:dyDescent="0.2">
      <c r="B1530" s="14" t="s">
        <v>2916</v>
      </c>
      <c r="C1530" s="14" t="s">
        <v>2917</v>
      </c>
      <c r="D1530" s="14">
        <v>1</v>
      </c>
      <c r="E1530" s="15">
        <v>410</v>
      </c>
      <c r="F1530" s="16" t="s">
        <v>8</v>
      </c>
      <c r="G1530" s="14"/>
    </row>
    <row r="1531" spans="2:7" ht="11.25" outlineLevel="5" x14ac:dyDescent="0.2">
      <c r="B1531" s="14" t="s">
        <v>2918</v>
      </c>
      <c r="C1531" s="14" t="s">
        <v>2919</v>
      </c>
      <c r="D1531" s="14">
        <v>1</v>
      </c>
      <c r="E1531" s="15">
        <v>551.38</v>
      </c>
      <c r="F1531" s="16" t="s">
        <v>8</v>
      </c>
      <c r="G1531" s="14"/>
    </row>
    <row r="1532" spans="2:7" ht="11.25" outlineLevel="5" x14ac:dyDescent="0.2">
      <c r="B1532" s="14" t="s">
        <v>2920</v>
      </c>
      <c r="C1532" s="14" t="s">
        <v>2921</v>
      </c>
      <c r="D1532" s="14">
        <v>1</v>
      </c>
      <c r="E1532" s="15">
        <v>791.74</v>
      </c>
      <c r="F1532" s="16" t="s">
        <v>8</v>
      </c>
      <c r="G1532" s="14"/>
    </row>
    <row r="1533" spans="2:7" ht="11.25" outlineLevel="5" x14ac:dyDescent="0.2">
      <c r="B1533" s="14" t="s">
        <v>2922</v>
      </c>
      <c r="C1533" s="14" t="s">
        <v>2923</v>
      </c>
      <c r="D1533" s="14">
        <v>1</v>
      </c>
      <c r="E1533" s="15">
        <v>954.33</v>
      </c>
      <c r="F1533" s="16" t="s">
        <v>8</v>
      </c>
      <c r="G1533" s="14"/>
    </row>
    <row r="1534" spans="2:7" ht="11.25" outlineLevel="5" x14ac:dyDescent="0.2">
      <c r="B1534" s="14" t="s">
        <v>2924</v>
      </c>
      <c r="C1534" s="14" t="s">
        <v>2925</v>
      </c>
      <c r="D1534" s="14">
        <v>1</v>
      </c>
      <c r="E1534" s="17">
        <v>2000.56</v>
      </c>
      <c r="F1534" s="16" t="s">
        <v>8</v>
      </c>
      <c r="G1534" s="38" t="str">
        <f>HYPERLINK("http://enext.ua/ЩО-72Н")</f>
        <v>http://enext.ua/ЩО-72Н</v>
      </c>
    </row>
    <row r="1535" spans="2:7" ht="12" outlineLevel="4" x14ac:dyDescent="0.2">
      <c r="B1535" s="12"/>
      <c r="C1535" s="37" t="s">
        <v>2926</v>
      </c>
      <c r="D1535" s="12"/>
      <c r="E1535" s="13"/>
      <c r="F1535" s="13"/>
      <c r="G1535" s="12"/>
    </row>
    <row r="1536" spans="2:7" ht="11.25" outlineLevel="5" x14ac:dyDescent="0.2">
      <c r="B1536" s="14" t="s">
        <v>2927</v>
      </c>
      <c r="C1536" s="14" t="s">
        <v>2928</v>
      </c>
      <c r="D1536" s="14">
        <v>1</v>
      </c>
      <c r="E1536" s="15">
        <v>282.77</v>
      </c>
      <c r="F1536" s="16" t="s">
        <v>8</v>
      </c>
      <c r="G1536" s="14"/>
    </row>
    <row r="1537" spans="2:7" ht="11.25" outlineLevel="5" x14ac:dyDescent="0.2">
      <c r="B1537" s="14" t="s">
        <v>2929</v>
      </c>
      <c r="C1537" s="14" t="s">
        <v>2930</v>
      </c>
      <c r="D1537" s="14">
        <v>1</v>
      </c>
      <c r="E1537" s="15">
        <v>332.24</v>
      </c>
      <c r="F1537" s="16" t="s">
        <v>8</v>
      </c>
      <c r="G1537" s="14"/>
    </row>
    <row r="1538" spans="2:7" ht="11.25" outlineLevel="5" x14ac:dyDescent="0.2">
      <c r="B1538" s="14" t="s">
        <v>2931</v>
      </c>
      <c r="C1538" s="14" t="s">
        <v>2932</v>
      </c>
      <c r="D1538" s="14">
        <v>1</v>
      </c>
      <c r="E1538" s="15">
        <v>339.31</v>
      </c>
      <c r="F1538" s="16" t="s">
        <v>8</v>
      </c>
      <c r="G1538" s="14"/>
    </row>
    <row r="1539" spans="2:7" ht="11.25" outlineLevel="5" x14ac:dyDescent="0.2">
      <c r="B1539" s="14" t="s">
        <v>2933</v>
      </c>
      <c r="C1539" s="14" t="s">
        <v>2934</v>
      </c>
      <c r="D1539" s="14">
        <v>1</v>
      </c>
      <c r="E1539" s="15">
        <v>494.83</v>
      </c>
      <c r="F1539" s="16" t="s">
        <v>8</v>
      </c>
      <c r="G1539" s="14"/>
    </row>
    <row r="1540" spans="2:7" ht="11.25" outlineLevel="5" x14ac:dyDescent="0.2">
      <c r="B1540" s="14" t="s">
        <v>2935</v>
      </c>
      <c r="C1540" s="14" t="s">
        <v>2936</v>
      </c>
      <c r="D1540" s="14">
        <v>1</v>
      </c>
      <c r="E1540" s="15">
        <v>607.92999999999995</v>
      </c>
      <c r="F1540" s="16" t="s">
        <v>8</v>
      </c>
      <c r="G1540" s="14"/>
    </row>
    <row r="1541" spans="2:7" ht="11.25" outlineLevel="5" x14ac:dyDescent="0.2">
      <c r="B1541" s="14" t="s">
        <v>2937</v>
      </c>
      <c r="C1541" s="14" t="s">
        <v>2938</v>
      </c>
      <c r="D1541" s="14">
        <v>1</v>
      </c>
      <c r="E1541" s="15">
        <v>763.46</v>
      </c>
      <c r="F1541" s="16" t="s">
        <v>8</v>
      </c>
      <c r="G1541" s="14"/>
    </row>
    <row r="1542" spans="2:7" ht="11.25" outlineLevel="5" x14ac:dyDescent="0.2">
      <c r="B1542" s="14" t="s">
        <v>2939</v>
      </c>
      <c r="C1542" s="14" t="s">
        <v>2940</v>
      </c>
      <c r="D1542" s="14">
        <v>1</v>
      </c>
      <c r="E1542" s="15">
        <v>926.06</v>
      </c>
      <c r="F1542" s="16" t="s">
        <v>8</v>
      </c>
      <c r="G1542" s="14"/>
    </row>
    <row r="1543" spans="2:7" ht="11.25" outlineLevel="5" x14ac:dyDescent="0.2">
      <c r="B1543" s="14" t="s">
        <v>2941</v>
      </c>
      <c r="C1543" s="14" t="s">
        <v>2942</v>
      </c>
      <c r="D1543" s="14">
        <v>1</v>
      </c>
      <c r="E1543" s="15">
        <v>332.24</v>
      </c>
      <c r="F1543" s="16" t="s">
        <v>8</v>
      </c>
      <c r="G1543" s="14"/>
    </row>
    <row r="1544" spans="2:7" ht="11.25" outlineLevel="5" x14ac:dyDescent="0.2">
      <c r="B1544" s="14" t="s">
        <v>2943</v>
      </c>
      <c r="C1544" s="14" t="s">
        <v>2944</v>
      </c>
      <c r="D1544" s="14">
        <v>1</v>
      </c>
      <c r="E1544" s="15">
        <v>438.29</v>
      </c>
      <c r="F1544" s="16" t="s">
        <v>8</v>
      </c>
      <c r="G1544" s="14"/>
    </row>
    <row r="1545" spans="2:7" ht="11.25" outlineLevel="5" x14ac:dyDescent="0.2">
      <c r="B1545" s="14" t="s">
        <v>2945</v>
      </c>
      <c r="C1545" s="14" t="s">
        <v>2946</v>
      </c>
      <c r="D1545" s="14">
        <v>1</v>
      </c>
      <c r="E1545" s="15">
        <v>459.5</v>
      </c>
      <c r="F1545" s="16" t="s">
        <v>8</v>
      </c>
      <c r="G1545" s="14"/>
    </row>
    <row r="1546" spans="2:7" ht="11.25" outlineLevel="5" x14ac:dyDescent="0.2">
      <c r="B1546" s="14" t="s">
        <v>2947</v>
      </c>
      <c r="C1546" s="14" t="s">
        <v>2948</v>
      </c>
      <c r="D1546" s="14">
        <v>1</v>
      </c>
      <c r="E1546" s="15">
        <v>607.92999999999995</v>
      </c>
      <c r="F1546" s="16" t="s">
        <v>8</v>
      </c>
      <c r="G1546" s="14"/>
    </row>
    <row r="1547" spans="2:7" ht="11.25" outlineLevel="5" x14ac:dyDescent="0.2">
      <c r="B1547" s="14" t="s">
        <v>2949</v>
      </c>
      <c r="C1547" s="14" t="s">
        <v>2950</v>
      </c>
      <c r="D1547" s="14">
        <v>1</v>
      </c>
      <c r="E1547" s="15">
        <v>713.98</v>
      </c>
      <c r="F1547" s="16" t="s">
        <v>8</v>
      </c>
      <c r="G1547" s="14"/>
    </row>
    <row r="1548" spans="2:7" ht="11.25" outlineLevel="5" x14ac:dyDescent="0.2">
      <c r="B1548" s="14" t="s">
        <v>2951</v>
      </c>
      <c r="C1548" s="14" t="s">
        <v>2952</v>
      </c>
      <c r="D1548" s="14">
        <v>1</v>
      </c>
      <c r="E1548" s="15">
        <v>926.06</v>
      </c>
      <c r="F1548" s="16" t="s">
        <v>8</v>
      </c>
      <c r="G1548" s="14"/>
    </row>
    <row r="1549" spans="2:7" ht="11.25" outlineLevel="5" x14ac:dyDescent="0.2">
      <c r="B1549" s="14" t="s">
        <v>2953</v>
      </c>
      <c r="C1549" s="14" t="s">
        <v>2954</v>
      </c>
      <c r="D1549" s="14">
        <v>1</v>
      </c>
      <c r="E1549" s="17">
        <v>1102.79</v>
      </c>
      <c r="F1549" s="16" t="s">
        <v>8</v>
      </c>
      <c r="G1549" s="14"/>
    </row>
    <row r="1550" spans="2:7" ht="11.25" outlineLevel="5" x14ac:dyDescent="0.2">
      <c r="B1550" s="14" t="s">
        <v>2955</v>
      </c>
      <c r="C1550" s="14" t="s">
        <v>2956</v>
      </c>
      <c r="D1550" s="14">
        <v>1</v>
      </c>
      <c r="E1550" s="15">
        <v>452.42</v>
      </c>
      <c r="F1550" s="16" t="s">
        <v>8</v>
      </c>
      <c r="G1550" s="14"/>
    </row>
    <row r="1551" spans="2:7" ht="11.25" outlineLevel="5" x14ac:dyDescent="0.2">
      <c r="B1551" s="14" t="s">
        <v>2957</v>
      </c>
      <c r="C1551" s="14" t="s">
        <v>2958</v>
      </c>
      <c r="D1551" s="14">
        <v>1</v>
      </c>
      <c r="E1551" s="15">
        <v>544.33000000000004</v>
      </c>
      <c r="F1551" s="16" t="s">
        <v>8</v>
      </c>
      <c r="G1551" s="14"/>
    </row>
    <row r="1552" spans="2:7" ht="11.25" outlineLevel="5" x14ac:dyDescent="0.2">
      <c r="B1552" s="14" t="s">
        <v>2959</v>
      </c>
      <c r="C1552" s="14" t="s">
        <v>2960</v>
      </c>
      <c r="D1552" s="14">
        <v>1</v>
      </c>
      <c r="E1552" s="15">
        <v>784.66</v>
      </c>
      <c r="F1552" s="16" t="s">
        <v>8</v>
      </c>
      <c r="G1552" s="14"/>
    </row>
    <row r="1553" spans="2:7" ht="11.25" outlineLevel="5" x14ac:dyDescent="0.2">
      <c r="B1553" s="14" t="s">
        <v>2961</v>
      </c>
      <c r="C1553" s="14" t="s">
        <v>2962</v>
      </c>
      <c r="D1553" s="14">
        <v>1</v>
      </c>
      <c r="E1553" s="17">
        <v>1102.79</v>
      </c>
      <c r="F1553" s="16" t="s">
        <v>8</v>
      </c>
      <c r="G1553" s="14"/>
    </row>
    <row r="1554" spans="2:7" ht="12" outlineLevel="4" x14ac:dyDescent="0.2">
      <c r="B1554" s="12"/>
      <c r="C1554" s="37" t="s">
        <v>2963</v>
      </c>
      <c r="D1554" s="12"/>
      <c r="E1554" s="13"/>
      <c r="F1554" s="13"/>
      <c r="G1554" s="12"/>
    </row>
    <row r="1555" spans="2:7" ht="11.25" outlineLevel="5" x14ac:dyDescent="0.2">
      <c r="B1555" s="14" t="s">
        <v>2964</v>
      </c>
      <c r="C1555" s="14" t="s">
        <v>2965</v>
      </c>
      <c r="D1555" s="14">
        <v>1</v>
      </c>
      <c r="E1555" s="15">
        <v>123.38</v>
      </c>
      <c r="F1555" s="16" t="s">
        <v>8</v>
      </c>
      <c r="G1555" s="38" t="str">
        <f>HYPERLINK("http://enext.ua/s0100062")</f>
        <v>http://enext.ua/s0100062</v>
      </c>
    </row>
    <row r="1556" spans="2:7" ht="11.25" outlineLevel="5" x14ac:dyDescent="0.2">
      <c r="B1556" s="14" t="s">
        <v>2966</v>
      </c>
      <c r="C1556" s="14" t="s">
        <v>2967</v>
      </c>
      <c r="D1556" s="14">
        <v>1</v>
      </c>
      <c r="E1556" s="15">
        <v>158.84</v>
      </c>
      <c r="F1556" s="16" t="s">
        <v>8</v>
      </c>
      <c r="G1556" s="38" t="str">
        <f>HYPERLINK("http://enext.ua/s0100059")</f>
        <v>http://enext.ua/s0100059</v>
      </c>
    </row>
    <row r="1557" spans="2:7" ht="11.25" outlineLevel="5" x14ac:dyDescent="0.2">
      <c r="B1557" s="14" t="s">
        <v>2968</v>
      </c>
      <c r="C1557" s="14" t="s">
        <v>2969</v>
      </c>
      <c r="D1557" s="14">
        <v>1</v>
      </c>
      <c r="E1557" s="15">
        <v>238.25</v>
      </c>
      <c r="F1557" s="16" t="s">
        <v>8</v>
      </c>
      <c r="G1557" s="38" t="str">
        <f>HYPERLINK("http://enext.ua/s0100054")</f>
        <v>http://enext.ua/s0100054</v>
      </c>
    </row>
    <row r="1558" spans="2:7" ht="11.25" outlineLevel="5" x14ac:dyDescent="0.2">
      <c r="B1558" s="14" t="s">
        <v>2970</v>
      </c>
      <c r="C1558" s="14" t="s">
        <v>2971</v>
      </c>
      <c r="D1558" s="14">
        <v>1</v>
      </c>
      <c r="E1558" s="15">
        <v>284.2</v>
      </c>
      <c r="F1558" s="16" t="s">
        <v>8</v>
      </c>
      <c r="G1558" s="14"/>
    </row>
    <row r="1559" spans="2:7" ht="11.25" outlineLevel="5" x14ac:dyDescent="0.2">
      <c r="B1559" s="14" t="s">
        <v>2972</v>
      </c>
      <c r="C1559" s="14" t="s">
        <v>2973</v>
      </c>
      <c r="D1559" s="14">
        <v>1</v>
      </c>
      <c r="E1559" s="15">
        <v>239.96</v>
      </c>
      <c r="F1559" s="16" t="s">
        <v>8</v>
      </c>
      <c r="G1559" s="38" t="str">
        <f>HYPERLINK("http://enext.ua/s0100039")</f>
        <v>http://enext.ua/s0100039</v>
      </c>
    </row>
    <row r="1560" spans="2:7" ht="11.25" outlineLevel="5" x14ac:dyDescent="0.2">
      <c r="B1560" s="14" t="s">
        <v>2974</v>
      </c>
      <c r="C1560" s="14" t="s">
        <v>2975</v>
      </c>
      <c r="D1560" s="14">
        <v>1</v>
      </c>
      <c r="E1560" s="15">
        <v>360.79</v>
      </c>
      <c r="F1560" s="16" t="s">
        <v>8</v>
      </c>
      <c r="G1560" s="38" t="str">
        <f>HYPERLINK("http://enext.ua/s0100044")</f>
        <v>http://enext.ua/s0100044</v>
      </c>
    </row>
    <row r="1561" spans="2:7" ht="11.25" outlineLevel="5" x14ac:dyDescent="0.2">
      <c r="B1561" s="14" t="s">
        <v>2976</v>
      </c>
      <c r="C1561" s="14" t="s">
        <v>2977</v>
      </c>
      <c r="D1561" s="14">
        <v>1</v>
      </c>
      <c r="E1561" s="15">
        <v>347.45</v>
      </c>
      <c r="F1561" s="16" t="s">
        <v>8</v>
      </c>
      <c r="G1561" s="38" t="str">
        <f>HYPERLINK("http://enext.ua/s0100046")</f>
        <v>http://enext.ua/s0100046</v>
      </c>
    </row>
    <row r="1562" spans="2:7" ht="11.25" outlineLevel="5" x14ac:dyDescent="0.2">
      <c r="B1562" s="14" t="s">
        <v>2978</v>
      </c>
      <c r="C1562" s="14" t="s">
        <v>2979</v>
      </c>
      <c r="D1562" s="14">
        <v>1</v>
      </c>
      <c r="E1562" s="15">
        <v>421.2</v>
      </c>
      <c r="F1562" s="16" t="s">
        <v>8</v>
      </c>
      <c r="G1562" s="14"/>
    </row>
    <row r="1563" spans="2:7" ht="11.25" outlineLevel="5" x14ac:dyDescent="0.2">
      <c r="B1563" s="14" t="s">
        <v>2980</v>
      </c>
      <c r="C1563" s="14" t="s">
        <v>2981</v>
      </c>
      <c r="D1563" s="14">
        <v>1</v>
      </c>
      <c r="E1563" s="15">
        <v>485.02</v>
      </c>
      <c r="F1563" s="16" t="s">
        <v>8</v>
      </c>
      <c r="G1563" s="38" t="str">
        <f>HYPERLINK("http://enext.ua/s0100061")</f>
        <v>http://enext.ua/s0100061</v>
      </c>
    </row>
    <row r="1564" spans="2:7" ht="11.25" outlineLevel="5" x14ac:dyDescent="0.2">
      <c r="B1564" s="14" t="s">
        <v>2982</v>
      </c>
      <c r="C1564" s="14" t="s">
        <v>2983</v>
      </c>
      <c r="D1564" s="14">
        <v>1</v>
      </c>
      <c r="E1564" s="15">
        <v>592.23</v>
      </c>
      <c r="F1564" s="16" t="s">
        <v>8</v>
      </c>
      <c r="G1564" s="14"/>
    </row>
    <row r="1565" spans="2:7" ht="11.25" outlineLevel="5" x14ac:dyDescent="0.2">
      <c r="B1565" s="14" t="s">
        <v>2984</v>
      </c>
      <c r="C1565" s="14" t="s">
        <v>2985</v>
      </c>
      <c r="D1565" s="14">
        <v>1</v>
      </c>
      <c r="E1565" s="15">
        <v>570.11</v>
      </c>
      <c r="F1565" s="16" t="s">
        <v>8</v>
      </c>
      <c r="G1565" s="14"/>
    </row>
    <row r="1566" spans="2:7" ht="11.25" outlineLevel="5" x14ac:dyDescent="0.2">
      <c r="B1566" s="14" t="s">
        <v>2986</v>
      </c>
      <c r="C1566" s="14" t="s">
        <v>2987</v>
      </c>
      <c r="D1566" s="14">
        <v>1</v>
      </c>
      <c r="E1566" s="15">
        <v>641.02</v>
      </c>
      <c r="F1566" s="16" t="s">
        <v>8</v>
      </c>
      <c r="G1566" s="14"/>
    </row>
    <row r="1567" spans="2:7" ht="11.25" outlineLevel="5" x14ac:dyDescent="0.2">
      <c r="B1567" s="14" t="s">
        <v>2988</v>
      </c>
      <c r="C1567" s="14" t="s">
        <v>2989</v>
      </c>
      <c r="D1567" s="14">
        <v>1</v>
      </c>
      <c r="E1567" s="15">
        <v>656.62</v>
      </c>
      <c r="F1567" s="16" t="s">
        <v>8</v>
      </c>
      <c r="G1567" s="14"/>
    </row>
    <row r="1568" spans="2:7" ht="12" outlineLevel="3" x14ac:dyDescent="0.2">
      <c r="B1568" s="10"/>
      <c r="C1568" s="36" t="s">
        <v>2990</v>
      </c>
      <c r="D1568" s="10"/>
      <c r="E1568" s="11"/>
      <c r="F1568" s="11"/>
      <c r="G1568" s="10"/>
    </row>
    <row r="1569" spans="2:7" ht="12" outlineLevel="4" x14ac:dyDescent="0.2">
      <c r="B1569" s="12"/>
      <c r="C1569" s="37" t="s">
        <v>2991</v>
      </c>
      <c r="D1569" s="12"/>
      <c r="E1569" s="13"/>
      <c r="F1569" s="13"/>
      <c r="G1569" s="12"/>
    </row>
    <row r="1570" spans="2:7" ht="11.25" outlineLevel="5" x14ac:dyDescent="0.2">
      <c r="B1570" s="14" t="s">
        <v>2992</v>
      </c>
      <c r="C1570" s="14" t="s">
        <v>2993</v>
      </c>
      <c r="D1570" s="14">
        <v>1</v>
      </c>
      <c r="E1570" s="15">
        <v>209.89</v>
      </c>
      <c r="F1570" s="16" t="s">
        <v>8</v>
      </c>
      <c r="G1570" s="38" t="str">
        <f>HYPERLINK("http://enext.ua/s0100001")</f>
        <v>http://enext.ua/s0100001</v>
      </c>
    </row>
    <row r="1571" spans="2:7" ht="11.25" outlineLevel="5" x14ac:dyDescent="0.2">
      <c r="B1571" s="14" t="s">
        <v>2994</v>
      </c>
      <c r="C1571" s="14" t="s">
        <v>2995</v>
      </c>
      <c r="D1571" s="14">
        <v>1</v>
      </c>
      <c r="E1571" s="15">
        <v>224.07</v>
      </c>
      <c r="F1571" s="16" t="s">
        <v>8</v>
      </c>
      <c r="G1571" s="38" t="str">
        <f>HYPERLINK("http://enext.ua/s0100003")</f>
        <v>http://enext.ua/s0100003</v>
      </c>
    </row>
    <row r="1572" spans="2:7" ht="22.5" outlineLevel="5" x14ac:dyDescent="0.2">
      <c r="B1572" s="14" t="s">
        <v>2996</v>
      </c>
      <c r="C1572" s="14" t="s">
        <v>2997</v>
      </c>
      <c r="D1572" s="14">
        <v>1</v>
      </c>
      <c r="E1572" s="15">
        <v>218.4</v>
      </c>
      <c r="F1572" s="16" t="s">
        <v>8</v>
      </c>
      <c r="G1572" s="38" t="str">
        <f>HYPERLINK("http://enext.ua/s0100063")</f>
        <v>http://enext.ua/s0100063</v>
      </c>
    </row>
    <row r="1573" spans="2:7" ht="11.25" outlineLevel="5" x14ac:dyDescent="0.2">
      <c r="B1573" s="14" t="s">
        <v>2998</v>
      </c>
      <c r="C1573" s="14" t="s">
        <v>2999</v>
      </c>
      <c r="D1573" s="14">
        <v>1</v>
      </c>
      <c r="E1573" s="15">
        <v>229.09</v>
      </c>
      <c r="F1573" s="16" t="s">
        <v>8</v>
      </c>
      <c r="G1573" s="38" t="str">
        <f>HYPERLINK("http://enext.ua/s0100005")</f>
        <v>http://enext.ua/s0100005</v>
      </c>
    </row>
    <row r="1574" spans="2:7" ht="22.5" outlineLevel="5" x14ac:dyDescent="0.2">
      <c r="B1574" s="14" t="s">
        <v>3000</v>
      </c>
      <c r="C1574" s="14" t="s">
        <v>3001</v>
      </c>
      <c r="D1574" s="14">
        <v>1</v>
      </c>
      <c r="E1574" s="15">
        <v>223.41</v>
      </c>
      <c r="F1574" s="16" t="s">
        <v>8</v>
      </c>
      <c r="G1574" s="38" t="str">
        <f>HYPERLINK("http://enext.ua/s0100049")</f>
        <v>http://enext.ua/s0100049</v>
      </c>
    </row>
    <row r="1575" spans="2:7" ht="11.25" outlineLevel="5" x14ac:dyDescent="0.2">
      <c r="B1575" s="14" t="s">
        <v>3002</v>
      </c>
      <c r="C1575" s="14" t="s">
        <v>3003</v>
      </c>
      <c r="D1575" s="14">
        <v>1</v>
      </c>
      <c r="E1575" s="15">
        <v>252.44</v>
      </c>
      <c r="F1575" s="16" t="s">
        <v>8</v>
      </c>
      <c r="G1575" s="38" t="str">
        <f>HYPERLINK("http://enext.ua/s0100015")</f>
        <v>http://enext.ua/s0100015</v>
      </c>
    </row>
    <row r="1576" spans="2:7" ht="22.5" outlineLevel="5" x14ac:dyDescent="0.2">
      <c r="B1576" s="14" t="s">
        <v>3004</v>
      </c>
      <c r="C1576" s="14" t="s">
        <v>3005</v>
      </c>
      <c r="D1576" s="14">
        <v>1</v>
      </c>
      <c r="E1576" s="15">
        <v>246.77</v>
      </c>
      <c r="F1576" s="16" t="s">
        <v>8</v>
      </c>
      <c r="G1576" s="38" t="str">
        <f>HYPERLINK("http://enext.ua/s0100065")</f>
        <v>http://enext.ua/s0100065</v>
      </c>
    </row>
    <row r="1577" spans="2:7" ht="11.25" outlineLevel="5" x14ac:dyDescent="0.2">
      <c r="B1577" s="14" t="s">
        <v>3006</v>
      </c>
      <c r="C1577" s="14" t="s">
        <v>3007</v>
      </c>
      <c r="D1577" s="14">
        <v>1</v>
      </c>
      <c r="E1577" s="15">
        <v>272.29000000000002</v>
      </c>
      <c r="F1577" s="16" t="s">
        <v>8</v>
      </c>
      <c r="G1577" s="38" t="str">
        <f>HYPERLINK("http://enext.ua/s0100007")</f>
        <v>http://enext.ua/s0100007</v>
      </c>
    </row>
    <row r="1578" spans="2:7" ht="22.5" outlineLevel="5" x14ac:dyDescent="0.2">
      <c r="B1578" s="14" t="s">
        <v>3008</v>
      </c>
      <c r="C1578" s="14" t="s">
        <v>3009</v>
      </c>
      <c r="D1578" s="14">
        <v>1</v>
      </c>
      <c r="E1578" s="15">
        <v>263.77999999999997</v>
      </c>
      <c r="F1578" s="16" t="s">
        <v>8</v>
      </c>
      <c r="G1578" s="38" t="str">
        <f>HYPERLINK("http://enext.ua/s0100067")</f>
        <v>http://enext.ua/s0100067</v>
      </c>
    </row>
    <row r="1579" spans="2:7" ht="11.25" outlineLevel="5" x14ac:dyDescent="0.2">
      <c r="B1579" s="14" t="s">
        <v>3010</v>
      </c>
      <c r="C1579" s="14" t="s">
        <v>3011</v>
      </c>
      <c r="D1579" s="14">
        <v>1</v>
      </c>
      <c r="E1579" s="15">
        <v>303.49</v>
      </c>
      <c r="F1579" s="16" t="s">
        <v>8</v>
      </c>
      <c r="G1579" s="38" t="str">
        <f>HYPERLINK("http://enext.ua/s0100009")</f>
        <v>http://enext.ua/s0100009</v>
      </c>
    </row>
    <row r="1580" spans="2:7" ht="22.5" outlineLevel="5" x14ac:dyDescent="0.2">
      <c r="B1580" s="14" t="s">
        <v>3012</v>
      </c>
      <c r="C1580" s="14" t="s">
        <v>3013</v>
      </c>
      <c r="D1580" s="14">
        <v>1</v>
      </c>
      <c r="E1580" s="15">
        <v>282.76</v>
      </c>
      <c r="F1580" s="16" t="s">
        <v>8</v>
      </c>
      <c r="G1580" s="38" t="str">
        <f>HYPERLINK("http://enext.ua/s0100069")</f>
        <v>http://enext.ua/s0100069</v>
      </c>
    </row>
    <row r="1581" spans="2:7" ht="11.25" outlineLevel="5" x14ac:dyDescent="0.2">
      <c r="B1581" s="14" t="s">
        <v>3014</v>
      </c>
      <c r="C1581" s="14" t="s">
        <v>3015</v>
      </c>
      <c r="D1581" s="14">
        <v>1</v>
      </c>
      <c r="E1581" s="15">
        <v>343.2</v>
      </c>
      <c r="F1581" s="16" t="s">
        <v>8</v>
      </c>
      <c r="G1581" s="38" t="str">
        <f>HYPERLINK("http://enext.ua/s0100011")</f>
        <v>http://enext.ua/s0100011</v>
      </c>
    </row>
    <row r="1582" spans="2:7" ht="22.5" outlineLevel="5" x14ac:dyDescent="0.2">
      <c r="B1582" s="14" t="s">
        <v>3016</v>
      </c>
      <c r="C1582" s="14" t="s">
        <v>3017</v>
      </c>
      <c r="D1582" s="14">
        <v>1</v>
      </c>
      <c r="E1582" s="15">
        <v>337.53</v>
      </c>
      <c r="F1582" s="16" t="s">
        <v>8</v>
      </c>
      <c r="G1582" s="38" t="str">
        <f>HYPERLINK("http://enext.ua/s0100071")</f>
        <v>http://enext.ua/s0100071</v>
      </c>
    </row>
    <row r="1583" spans="2:7" ht="11.25" outlineLevel="5" x14ac:dyDescent="0.2">
      <c r="B1583" s="14" t="s">
        <v>3018</v>
      </c>
      <c r="C1583" s="14" t="s">
        <v>3019</v>
      </c>
      <c r="D1583" s="14">
        <v>1</v>
      </c>
      <c r="E1583" s="15">
        <v>365.89</v>
      </c>
      <c r="F1583" s="16" t="s">
        <v>8</v>
      </c>
      <c r="G1583" s="38" t="str">
        <f>HYPERLINK("http://enext.ua/s0100013")</f>
        <v>http://enext.ua/s0100013</v>
      </c>
    </row>
    <row r="1584" spans="2:7" ht="22.5" outlineLevel="5" x14ac:dyDescent="0.2">
      <c r="B1584" s="14" t="s">
        <v>3020</v>
      </c>
      <c r="C1584" s="14" t="s">
        <v>3021</v>
      </c>
      <c r="D1584" s="14">
        <v>1</v>
      </c>
      <c r="E1584" s="15">
        <v>357.39</v>
      </c>
      <c r="F1584" s="16" t="s">
        <v>8</v>
      </c>
      <c r="G1584" s="38" t="str">
        <f>HYPERLINK("http://enext.ua/s0100052")</f>
        <v>http://enext.ua/s0100052</v>
      </c>
    </row>
    <row r="1585" spans="2:7" ht="11.25" outlineLevel="5" x14ac:dyDescent="0.2">
      <c r="B1585" s="14" t="s">
        <v>3022</v>
      </c>
      <c r="C1585" s="14" t="s">
        <v>3023</v>
      </c>
      <c r="D1585" s="14">
        <v>1</v>
      </c>
      <c r="E1585" s="15">
        <v>394.26</v>
      </c>
      <c r="F1585" s="16" t="s">
        <v>8</v>
      </c>
      <c r="G1585" s="38" t="str">
        <f>HYPERLINK("http://enext.ua/s0100031")</f>
        <v>http://enext.ua/s0100031</v>
      </c>
    </row>
    <row r="1586" spans="2:7" ht="22.5" outlineLevel="5" x14ac:dyDescent="0.2">
      <c r="B1586" s="14" t="s">
        <v>3024</v>
      </c>
      <c r="C1586" s="14" t="s">
        <v>3025</v>
      </c>
      <c r="D1586" s="14">
        <v>1</v>
      </c>
      <c r="E1586" s="15">
        <v>388.58</v>
      </c>
      <c r="F1586" s="16" t="s">
        <v>8</v>
      </c>
      <c r="G1586" s="38" t="str">
        <f>HYPERLINK("http://enext.ua/s0100073")</f>
        <v>http://enext.ua/s0100073</v>
      </c>
    </row>
    <row r="1587" spans="2:7" ht="22.5" outlineLevel="5" x14ac:dyDescent="0.2">
      <c r="B1587" s="14" t="s">
        <v>3026</v>
      </c>
      <c r="C1587" s="14" t="s">
        <v>3027</v>
      </c>
      <c r="D1587" s="14">
        <v>1</v>
      </c>
      <c r="E1587" s="15">
        <v>471.27</v>
      </c>
      <c r="F1587" s="16" t="s">
        <v>8</v>
      </c>
      <c r="G1587" s="38" t="str">
        <f>HYPERLINK("http://enext.ua/s0100014")</f>
        <v>http://enext.ua/s0100014</v>
      </c>
    </row>
    <row r="1588" spans="2:7" ht="22.5" outlineLevel="5" x14ac:dyDescent="0.2">
      <c r="B1588" s="14" t="s">
        <v>3028</v>
      </c>
      <c r="C1588" s="14" t="s">
        <v>3029</v>
      </c>
      <c r="D1588" s="14">
        <v>1</v>
      </c>
      <c r="E1588" s="15">
        <v>779.55</v>
      </c>
      <c r="F1588" s="16" t="s">
        <v>8</v>
      </c>
      <c r="G1588" s="38" t="str">
        <f>HYPERLINK("http://enext.ua/s0100147")</f>
        <v>http://enext.ua/s0100147</v>
      </c>
    </row>
    <row r="1589" spans="2:7" ht="22.5" outlineLevel="5" x14ac:dyDescent="0.2">
      <c r="B1589" s="14" t="s">
        <v>3030</v>
      </c>
      <c r="C1589" s="14" t="s">
        <v>3031</v>
      </c>
      <c r="D1589" s="14">
        <v>1</v>
      </c>
      <c r="E1589" s="15">
        <v>540.29999999999995</v>
      </c>
      <c r="F1589" s="16" t="s">
        <v>8</v>
      </c>
      <c r="G1589" s="38" t="str">
        <f>HYPERLINK("http://enext.ua/s0100126")</f>
        <v>http://enext.ua/s0100126</v>
      </c>
    </row>
    <row r="1590" spans="2:7" ht="22.5" outlineLevel="5" x14ac:dyDescent="0.2">
      <c r="B1590" s="14" t="s">
        <v>3032</v>
      </c>
      <c r="C1590" s="14" t="s">
        <v>3033</v>
      </c>
      <c r="D1590" s="14">
        <v>1</v>
      </c>
      <c r="E1590" s="15">
        <v>224.07</v>
      </c>
      <c r="F1590" s="16" t="s">
        <v>8</v>
      </c>
      <c r="G1590" s="38" t="str">
        <f>HYPERLINK("http://enext.ua/s0100002")</f>
        <v>http://enext.ua/s0100002</v>
      </c>
    </row>
    <row r="1591" spans="2:7" ht="22.5" outlineLevel="5" x14ac:dyDescent="0.2">
      <c r="B1591" s="14" t="s">
        <v>3034</v>
      </c>
      <c r="C1591" s="14" t="s">
        <v>3035</v>
      </c>
      <c r="D1591" s="14">
        <v>1</v>
      </c>
      <c r="E1591" s="15">
        <v>218.4</v>
      </c>
      <c r="F1591" s="16" t="s">
        <v>8</v>
      </c>
      <c r="G1591" s="38" t="str">
        <f>HYPERLINK("http://enext.ua/s0100064")</f>
        <v>http://enext.ua/s0100064</v>
      </c>
    </row>
    <row r="1592" spans="2:7" ht="22.5" outlineLevel="5" x14ac:dyDescent="0.2">
      <c r="B1592" s="14" t="s">
        <v>3036</v>
      </c>
      <c r="C1592" s="14" t="s">
        <v>3037</v>
      </c>
      <c r="D1592" s="14">
        <v>1</v>
      </c>
      <c r="E1592" s="15">
        <v>229.09</v>
      </c>
      <c r="F1592" s="16" t="s">
        <v>8</v>
      </c>
      <c r="G1592" s="38" t="str">
        <f>HYPERLINK("http://enext.ua/s0100004")</f>
        <v>http://enext.ua/s0100004</v>
      </c>
    </row>
    <row r="1593" spans="2:7" ht="22.5" outlineLevel="5" x14ac:dyDescent="0.2">
      <c r="B1593" s="14" t="s">
        <v>3038</v>
      </c>
      <c r="C1593" s="14" t="s">
        <v>3039</v>
      </c>
      <c r="D1593" s="14">
        <v>1</v>
      </c>
      <c r="E1593" s="15">
        <v>223.41</v>
      </c>
      <c r="F1593" s="16" t="s">
        <v>8</v>
      </c>
      <c r="G1593" s="38" t="str">
        <f>HYPERLINK("http://enext.ua/s0100050")</f>
        <v>http://enext.ua/s0100050</v>
      </c>
    </row>
    <row r="1594" spans="2:7" ht="22.5" outlineLevel="5" x14ac:dyDescent="0.2">
      <c r="B1594" s="14" t="s">
        <v>3040</v>
      </c>
      <c r="C1594" s="14" t="s">
        <v>3041</v>
      </c>
      <c r="D1594" s="14">
        <v>1</v>
      </c>
      <c r="E1594" s="15">
        <v>252.44</v>
      </c>
      <c r="F1594" s="16" t="s">
        <v>8</v>
      </c>
      <c r="G1594" s="38" t="str">
        <f>HYPERLINK("http://enext.ua/s0100016")</f>
        <v>http://enext.ua/s0100016</v>
      </c>
    </row>
    <row r="1595" spans="2:7" ht="22.5" outlineLevel="5" x14ac:dyDescent="0.2">
      <c r="B1595" s="14" t="s">
        <v>3042</v>
      </c>
      <c r="C1595" s="14" t="s">
        <v>3043</v>
      </c>
      <c r="D1595" s="14">
        <v>1</v>
      </c>
      <c r="E1595" s="15">
        <v>246.77</v>
      </c>
      <c r="F1595" s="16" t="s">
        <v>8</v>
      </c>
      <c r="G1595" s="38" t="str">
        <f>HYPERLINK("http://enext.ua/s0100066")</f>
        <v>http://enext.ua/s0100066</v>
      </c>
    </row>
    <row r="1596" spans="2:7" ht="22.5" outlineLevel="5" x14ac:dyDescent="0.2">
      <c r="B1596" s="14" t="s">
        <v>3044</v>
      </c>
      <c r="C1596" s="14" t="s">
        <v>3045</v>
      </c>
      <c r="D1596" s="14">
        <v>1</v>
      </c>
      <c r="E1596" s="15">
        <v>272.29000000000002</v>
      </c>
      <c r="F1596" s="16" t="s">
        <v>8</v>
      </c>
      <c r="G1596" s="38" t="str">
        <f>HYPERLINK("http://enext.ua/s0100006")</f>
        <v>http://enext.ua/s0100006</v>
      </c>
    </row>
    <row r="1597" spans="2:7" ht="22.5" outlineLevel="5" x14ac:dyDescent="0.2">
      <c r="B1597" s="14" t="s">
        <v>3046</v>
      </c>
      <c r="C1597" s="14" t="s">
        <v>3047</v>
      </c>
      <c r="D1597" s="14">
        <v>1</v>
      </c>
      <c r="E1597" s="15">
        <v>263.77999999999997</v>
      </c>
      <c r="F1597" s="16" t="s">
        <v>8</v>
      </c>
      <c r="G1597" s="38" t="str">
        <f>HYPERLINK("http://enext.ua/s0100068")</f>
        <v>http://enext.ua/s0100068</v>
      </c>
    </row>
    <row r="1598" spans="2:7" ht="22.5" outlineLevel="5" x14ac:dyDescent="0.2">
      <c r="B1598" s="14" t="s">
        <v>3048</v>
      </c>
      <c r="C1598" s="14" t="s">
        <v>3049</v>
      </c>
      <c r="D1598" s="14">
        <v>1</v>
      </c>
      <c r="E1598" s="15">
        <v>303.49</v>
      </c>
      <c r="F1598" s="16" t="s">
        <v>8</v>
      </c>
      <c r="G1598" s="38" t="str">
        <f>HYPERLINK("http://enext.ua/s0100008")</f>
        <v>http://enext.ua/s0100008</v>
      </c>
    </row>
    <row r="1599" spans="2:7" ht="22.5" outlineLevel="5" x14ac:dyDescent="0.2">
      <c r="B1599" s="14" t="s">
        <v>3050</v>
      </c>
      <c r="C1599" s="14" t="s">
        <v>3051</v>
      </c>
      <c r="D1599" s="14">
        <v>1</v>
      </c>
      <c r="E1599" s="15">
        <v>294.98</v>
      </c>
      <c r="F1599" s="16" t="s">
        <v>8</v>
      </c>
      <c r="G1599" s="38" t="str">
        <f>HYPERLINK("http://enext.ua/s0100070")</f>
        <v>http://enext.ua/s0100070</v>
      </c>
    </row>
    <row r="1600" spans="2:7" ht="22.5" outlineLevel="5" x14ac:dyDescent="0.2">
      <c r="B1600" s="14" t="s">
        <v>3052</v>
      </c>
      <c r="C1600" s="14" t="s">
        <v>3053</v>
      </c>
      <c r="D1600" s="14">
        <v>1</v>
      </c>
      <c r="E1600" s="15">
        <v>343.2</v>
      </c>
      <c r="F1600" s="16" t="s">
        <v>8</v>
      </c>
      <c r="G1600" s="38" t="str">
        <f>HYPERLINK("http://enext.ua/s0100010")</f>
        <v>http://enext.ua/s0100010</v>
      </c>
    </row>
    <row r="1601" spans="2:7" ht="22.5" outlineLevel="5" x14ac:dyDescent="0.2">
      <c r="B1601" s="14" t="s">
        <v>3054</v>
      </c>
      <c r="C1601" s="14" t="s">
        <v>3055</v>
      </c>
      <c r="D1601" s="14">
        <v>1</v>
      </c>
      <c r="E1601" s="15">
        <v>337.53</v>
      </c>
      <c r="F1601" s="16" t="s">
        <v>8</v>
      </c>
      <c r="G1601" s="38" t="str">
        <f>HYPERLINK("http://enext.ua/s0100072")</f>
        <v>http://enext.ua/s0100072</v>
      </c>
    </row>
    <row r="1602" spans="2:7" ht="22.5" outlineLevel="5" x14ac:dyDescent="0.2">
      <c r="B1602" s="14" t="s">
        <v>3056</v>
      </c>
      <c r="C1602" s="14" t="s">
        <v>3057</v>
      </c>
      <c r="D1602" s="14">
        <v>1</v>
      </c>
      <c r="E1602" s="15">
        <v>365.89</v>
      </c>
      <c r="F1602" s="16" t="s">
        <v>8</v>
      </c>
      <c r="G1602" s="38" t="str">
        <f>HYPERLINK("http://enext.ua/s0100012")</f>
        <v>http://enext.ua/s0100012</v>
      </c>
    </row>
    <row r="1603" spans="2:7" ht="22.5" outlineLevel="5" x14ac:dyDescent="0.2">
      <c r="B1603" s="14" t="s">
        <v>3058</v>
      </c>
      <c r="C1603" s="14" t="s">
        <v>3059</v>
      </c>
      <c r="D1603" s="14">
        <v>1</v>
      </c>
      <c r="E1603" s="15">
        <v>357.38</v>
      </c>
      <c r="F1603" s="16" t="s">
        <v>8</v>
      </c>
      <c r="G1603" s="38" t="str">
        <f>HYPERLINK("http://enext.ua/s0100051")</f>
        <v>http://enext.ua/s0100051</v>
      </c>
    </row>
    <row r="1604" spans="2:7" ht="22.5" outlineLevel="5" x14ac:dyDescent="0.2">
      <c r="B1604" s="14" t="s">
        <v>3060</v>
      </c>
      <c r="C1604" s="14" t="s">
        <v>3061</v>
      </c>
      <c r="D1604" s="14">
        <v>1</v>
      </c>
      <c r="E1604" s="15">
        <v>394.26</v>
      </c>
      <c r="F1604" s="16" t="s">
        <v>8</v>
      </c>
      <c r="G1604" s="38" t="str">
        <f>HYPERLINK("http://enext.ua/s0100030")</f>
        <v>http://enext.ua/s0100030</v>
      </c>
    </row>
    <row r="1605" spans="2:7" ht="22.5" outlineLevel="5" x14ac:dyDescent="0.2">
      <c r="B1605" s="14" t="s">
        <v>3062</v>
      </c>
      <c r="C1605" s="14" t="s">
        <v>3063</v>
      </c>
      <c r="D1605" s="14">
        <v>1</v>
      </c>
      <c r="E1605" s="15">
        <v>388.58</v>
      </c>
      <c r="F1605" s="16" t="s">
        <v>8</v>
      </c>
      <c r="G1605" s="38" t="str">
        <f>HYPERLINK("http://enext.ua/s0100074")</f>
        <v>http://enext.ua/s0100074</v>
      </c>
    </row>
    <row r="1606" spans="2:7" ht="12" outlineLevel="4" x14ac:dyDescent="0.2">
      <c r="B1606" s="12"/>
      <c r="C1606" s="37" t="s">
        <v>3064</v>
      </c>
      <c r="D1606" s="12"/>
      <c r="E1606" s="13"/>
      <c r="F1606" s="13"/>
      <c r="G1606" s="12"/>
    </row>
    <row r="1607" spans="2:7" ht="22.5" outlineLevel="5" x14ac:dyDescent="0.2">
      <c r="B1607" s="14" t="s">
        <v>3065</v>
      </c>
      <c r="C1607" s="14" t="s">
        <v>3066</v>
      </c>
      <c r="D1607" s="14">
        <v>1</v>
      </c>
      <c r="E1607" s="15">
        <v>619.12</v>
      </c>
      <c r="F1607" s="16" t="s">
        <v>8</v>
      </c>
      <c r="G1607" s="38" t="str">
        <f>HYPERLINK("http://enext.ua/s0100221")</f>
        <v>http://enext.ua/s0100221</v>
      </c>
    </row>
    <row r="1608" spans="2:7" ht="22.5" outlineLevel="5" x14ac:dyDescent="0.2">
      <c r="B1608" s="14" t="s">
        <v>3067</v>
      </c>
      <c r="C1608" s="14" t="s">
        <v>3068</v>
      </c>
      <c r="D1608" s="14">
        <v>1</v>
      </c>
      <c r="E1608" s="15">
        <v>804.11</v>
      </c>
      <c r="F1608" s="16" t="s">
        <v>8</v>
      </c>
      <c r="G1608" s="38" t="str">
        <f>HYPERLINK("http://enext.ua/s0100222")</f>
        <v>http://enext.ua/s0100222</v>
      </c>
    </row>
    <row r="1609" spans="2:7" ht="22.5" outlineLevel="5" x14ac:dyDescent="0.2">
      <c r="B1609" s="14" t="s">
        <v>3069</v>
      </c>
      <c r="C1609" s="14" t="s">
        <v>3070</v>
      </c>
      <c r="D1609" s="14">
        <v>1</v>
      </c>
      <c r="E1609" s="17">
        <v>1192.5</v>
      </c>
      <c r="F1609" s="16" t="s">
        <v>8</v>
      </c>
      <c r="G1609" s="38" t="str">
        <f>HYPERLINK("http://enext.ua/s0100223")</f>
        <v>http://enext.ua/s0100223</v>
      </c>
    </row>
    <row r="1610" spans="2:7" ht="22.5" outlineLevel="5" x14ac:dyDescent="0.2">
      <c r="B1610" s="14" t="s">
        <v>3071</v>
      </c>
      <c r="C1610" s="14" t="s">
        <v>3072</v>
      </c>
      <c r="D1610" s="14">
        <v>1</v>
      </c>
      <c r="E1610" s="15">
        <v>719.27</v>
      </c>
      <c r="F1610" s="16" t="s">
        <v>8</v>
      </c>
      <c r="G1610" s="38" t="str">
        <f>HYPERLINK("http://enext.ua/s0100226")</f>
        <v>http://enext.ua/s0100226</v>
      </c>
    </row>
    <row r="1611" spans="2:7" ht="22.5" outlineLevel="5" x14ac:dyDescent="0.2">
      <c r="B1611" s="14" t="s">
        <v>3073</v>
      </c>
      <c r="C1611" s="14" t="s">
        <v>3074</v>
      </c>
      <c r="D1611" s="14">
        <v>1</v>
      </c>
      <c r="E1611" s="15">
        <v>952.41</v>
      </c>
      <c r="F1611" s="16" t="s">
        <v>8</v>
      </c>
      <c r="G1611" s="38" t="str">
        <f>HYPERLINK("http://enext.ua/s0100227")</f>
        <v>http://enext.ua/s0100227</v>
      </c>
    </row>
    <row r="1612" spans="2:7" ht="22.5" outlineLevel="5" x14ac:dyDescent="0.2">
      <c r="B1612" s="14" t="s">
        <v>3075</v>
      </c>
      <c r="C1612" s="14" t="s">
        <v>3076</v>
      </c>
      <c r="D1612" s="14">
        <v>1</v>
      </c>
      <c r="E1612" s="17">
        <v>1072.6400000000001</v>
      </c>
      <c r="F1612" s="16" t="s">
        <v>8</v>
      </c>
      <c r="G1612" s="38" t="str">
        <f>HYPERLINK("http://enext.ua/s0100224")</f>
        <v>http://enext.ua/s0100224</v>
      </c>
    </row>
    <row r="1613" spans="2:7" ht="22.5" outlineLevel="5" x14ac:dyDescent="0.2">
      <c r="B1613" s="14" t="s">
        <v>3077</v>
      </c>
      <c r="C1613" s="14" t="s">
        <v>3078</v>
      </c>
      <c r="D1613" s="14">
        <v>1</v>
      </c>
      <c r="E1613" s="17">
        <v>1326.89</v>
      </c>
      <c r="F1613" s="16" t="s">
        <v>8</v>
      </c>
      <c r="G1613" s="38" t="str">
        <f>HYPERLINK("http://enext.ua/s0100225")</f>
        <v>http://enext.ua/s0100225</v>
      </c>
    </row>
    <row r="1614" spans="2:7" ht="12" outlineLevel="4" x14ac:dyDescent="0.2">
      <c r="B1614" s="12"/>
      <c r="C1614" s="37" t="s">
        <v>3079</v>
      </c>
      <c r="D1614" s="12"/>
      <c r="E1614" s="13"/>
      <c r="F1614" s="13"/>
      <c r="G1614" s="12"/>
    </row>
    <row r="1615" spans="2:7" ht="11.25" outlineLevel="5" x14ac:dyDescent="0.2">
      <c r="B1615" s="14" t="s">
        <v>3080</v>
      </c>
      <c r="C1615" s="14" t="s">
        <v>3081</v>
      </c>
      <c r="D1615" s="14">
        <v>1</v>
      </c>
      <c r="E1615" s="15">
        <v>438.29</v>
      </c>
      <c r="F1615" s="16" t="s">
        <v>8</v>
      </c>
      <c r="G1615" s="14"/>
    </row>
    <row r="1616" spans="2:7" ht="22.5" outlineLevel="5" x14ac:dyDescent="0.2">
      <c r="B1616" s="14" t="s">
        <v>3082</v>
      </c>
      <c r="C1616" s="14" t="s">
        <v>3083</v>
      </c>
      <c r="D1616" s="14">
        <v>1</v>
      </c>
      <c r="E1616" s="15">
        <v>381.74</v>
      </c>
      <c r="F1616" s="16" t="s">
        <v>8</v>
      </c>
      <c r="G1616" s="14"/>
    </row>
    <row r="1617" spans="2:7" ht="11.25" outlineLevel="5" x14ac:dyDescent="0.2">
      <c r="B1617" s="14" t="s">
        <v>3084</v>
      </c>
      <c r="C1617" s="14" t="s">
        <v>3085</v>
      </c>
      <c r="D1617" s="14">
        <v>1</v>
      </c>
      <c r="E1617" s="15">
        <v>459.5</v>
      </c>
      <c r="F1617" s="16" t="s">
        <v>8</v>
      </c>
      <c r="G1617" s="14"/>
    </row>
    <row r="1618" spans="2:7" ht="22.5" outlineLevel="5" x14ac:dyDescent="0.2">
      <c r="B1618" s="14" t="s">
        <v>3086</v>
      </c>
      <c r="C1618" s="14" t="s">
        <v>3087</v>
      </c>
      <c r="D1618" s="14">
        <v>1</v>
      </c>
      <c r="E1618" s="15">
        <v>438.29</v>
      </c>
      <c r="F1618" s="16" t="s">
        <v>8</v>
      </c>
      <c r="G1618" s="14"/>
    </row>
    <row r="1619" spans="2:7" ht="11.25" outlineLevel="5" x14ac:dyDescent="0.2">
      <c r="B1619" s="14" t="s">
        <v>3088</v>
      </c>
      <c r="C1619" s="14" t="s">
        <v>3089</v>
      </c>
      <c r="D1619" s="14">
        <v>1</v>
      </c>
      <c r="E1619" s="15">
        <v>487.77</v>
      </c>
      <c r="F1619" s="16" t="s">
        <v>8</v>
      </c>
      <c r="G1619" s="14"/>
    </row>
    <row r="1620" spans="2:7" ht="22.5" outlineLevel="5" x14ac:dyDescent="0.2">
      <c r="B1620" s="14" t="s">
        <v>3090</v>
      </c>
      <c r="C1620" s="14" t="s">
        <v>3091</v>
      </c>
      <c r="D1620" s="14">
        <v>1</v>
      </c>
      <c r="E1620" s="15">
        <v>459.5</v>
      </c>
      <c r="F1620" s="16" t="s">
        <v>8</v>
      </c>
      <c r="G1620" s="14"/>
    </row>
    <row r="1621" spans="2:7" ht="11.25" outlineLevel="5" x14ac:dyDescent="0.2">
      <c r="B1621" s="14" t="s">
        <v>3092</v>
      </c>
      <c r="C1621" s="14" t="s">
        <v>3093</v>
      </c>
      <c r="D1621" s="14">
        <v>1</v>
      </c>
      <c r="E1621" s="15">
        <v>537.25</v>
      </c>
      <c r="F1621" s="16" t="s">
        <v>8</v>
      </c>
      <c r="G1621" s="14"/>
    </row>
    <row r="1622" spans="2:7" ht="22.5" outlineLevel="5" x14ac:dyDescent="0.2">
      <c r="B1622" s="14" t="s">
        <v>3094</v>
      </c>
      <c r="C1622" s="14" t="s">
        <v>3095</v>
      </c>
      <c r="D1622" s="14">
        <v>1</v>
      </c>
      <c r="E1622" s="15">
        <v>523.11</v>
      </c>
      <c r="F1622" s="16" t="s">
        <v>8</v>
      </c>
      <c r="G1622" s="14"/>
    </row>
    <row r="1623" spans="2:7" ht="11.25" outlineLevel="5" x14ac:dyDescent="0.2">
      <c r="B1623" s="14" t="s">
        <v>3096</v>
      </c>
      <c r="C1623" s="14" t="s">
        <v>3097</v>
      </c>
      <c r="D1623" s="14">
        <v>1</v>
      </c>
      <c r="E1623" s="15">
        <v>473.63</v>
      </c>
      <c r="F1623" s="16" t="s">
        <v>8</v>
      </c>
      <c r="G1623" s="14"/>
    </row>
    <row r="1624" spans="2:7" ht="11.25" outlineLevel="5" x14ac:dyDescent="0.2">
      <c r="B1624" s="14" t="s">
        <v>3098</v>
      </c>
      <c r="C1624" s="14" t="s">
        <v>3099</v>
      </c>
      <c r="D1624" s="14">
        <v>1</v>
      </c>
      <c r="E1624" s="15">
        <v>438.29</v>
      </c>
      <c r="F1624" s="16" t="s">
        <v>8</v>
      </c>
      <c r="G1624" s="14"/>
    </row>
    <row r="1625" spans="2:7" ht="11.25" outlineLevel="5" x14ac:dyDescent="0.2">
      <c r="B1625" s="14" t="s">
        <v>3100</v>
      </c>
      <c r="C1625" s="14" t="s">
        <v>3101</v>
      </c>
      <c r="D1625" s="14">
        <v>1</v>
      </c>
      <c r="E1625" s="15">
        <v>494.82</v>
      </c>
      <c r="F1625" s="16" t="s">
        <v>8</v>
      </c>
      <c r="G1625" s="14"/>
    </row>
    <row r="1626" spans="2:7" ht="11.25" outlineLevel="5" x14ac:dyDescent="0.2">
      <c r="B1626" s="14" t="s">
        <v>3102</v>
      </c>
      <c r="C1626" s="14" t="s">
        <v>3103</v>
      </c>
      <c r="D1626" s="14">
        <v>1</v>
      </c>
      <c r="E1626" s="15">
        <v>452.42</v>
      </c>
      <c r="F1626" s="16" t="s">
        <v>8</v>
      </c>
      <c r="G1626" s="14"/>
    </row>
    <row r="1627" spans="2:7" ht="11.25" outlineLevel="5" x14ac:dyDescent="0.2">
      <c r="B1627" s="14" t="s">
        <v>3104</v>
      </c>
      <c r="C1627" s="14" t="s">
        <v>3105</v>
      </c>
      <c r="D1627" s="14">
        <v>1</v>
      </c>
      <c r="E1627" s="15">
        <v>551.38</v>
      </c>
      <c r="F1627" s="16" t="s">
        <v>8</v>
      </c>
      <c r="G1627" s="14"/>
    </row>
    <row r="1628" spans="2:7" ht="11.25" outlineLevel="5" x14ac:dyDescent="0.2">
      <c r="B1628" s="14" t="s">
        <v>3106</v>
      </c>
      <c r="C1628" s="14" t="s">
        <v>3107</v>
      </c>
      <c r="D1628" s="14">
        <v>1</v>
      </c>
      <c r="E1628" s="15">
        <v>487.77</v>
      </c>
      <c r="F1628" s="16" t="s">
        <v>8</v>
      </c>
      <c r="G1628" s="14"/>
    </row>
    <row r="1629" spans="2:7" ht="11.25" outlineLevel="5" x14ac:dyDescent="0.2">
      <c r="B1629" s="14" t="s">
        <v>3108</v>
      </c>
      <c r="C1629" s="14" t="s">
        <v>3109</v>
      </c>
      <c r="D1629" s="14">
        <v>1</v>
      </c>
      <c r="E1629" s="15">
        <v>586.74</v>
      </c>
      <c r="F1629" s="16" t="s">
        <v>8</v>
      </c>
      <c r="G1629" s="14"/>
    </row>
    <row r="1630" spans="2:7" ht="11.25" outlineLevel="5" x14ac:dyDescent="0.2">
      <c r="B1630" s="14" t="s">
        <v>3110</v>
      </c>
      <c r="C1630" s="14" t="s">
        <v>3111</v>
      </c>
      <c r="D1630" s="14">
        <v>1</v>
      </c>
      <c r="E1630" s="15">
        <v>572.59</v>
      </c>
      <c r="F1630" s="16" t="s">
        <v>8</v>
      </c>
      <c r="G1630" s="14"/>
    </row>
    <row r="1631" spans="2:7" ht="11.25" outlineLevel="5" x14ac:dyDescent="0.2">
      <c r="B1631" s="14" t="s">
        <v>3112</v>
      </c>
      <c r="C1631" s="14" t="s">
        <v>3113</v>
      </c>
      <c r="D1631" s="14">
        <v>1</v>
      </c>
      <c r="E1631" s="15">
        <v>650.37</v>
      </c>
      <c r="F1631" s="16" t="s">
        <v>8</v>
      </c>
      <c r="G1631" s="14"/>
    </row>
    <row r="1632" spans="2:7" ht="22.5" outlineLevel="5" x14ac:dyDescent="0.2">
      <c r="B1632" s="14" t="s">
        <v>3114</v>
      </c>
      <c r="C1632" s="14" t="s">
        <v>3115</v>
      </c>
      <c r="D1632" s="14">
        <v>1</v>
      </c>
      <c r="E1632" s="15">
        <v>607.92999999999995</v>
      </c>
      <c r="F1632" s="16" t="s">
        <v>8</v>
      </c>
      <c r="G1632" s="14"/>
    </row>
    <row r="1633" spans="2:7" ht="11.25" outlineLevel="5" x14ac:dyDescent="0.2">
      <c r="B1633" s="14" t="s">
        <v>3116</v>
      </c>
      <c r="C1633" s="14" t="s">
        <v>3117</v>
      </c>
      <c r="D1633" s="14">
        <v>1</v>
      </c>
      <c r="E1633" s="15">
        <v>749.33</v>
      </c>
      <c r="F1633" s="16" t="s">
        <v>8</v>
      </c>
      <c r="G1633" s="14"/>
    </row>
    <row r="1634" spans="2:7" ht="22.5" outlineLevel="5" x14ac:dyDescent="0.2">
      <c r="B1634" s="14" t="s">
        <v>3118</v>
      </c>
      <c r="C1634" s="14" t="s">
        <v>3119</v>
      </c>
      <c r="D1634" s="14">
        <v>1</v>
      </c>
      <c r="E1634" s="15">
        <v>678.63</v>
      </c>
      <c r="F1634" s="16" t="s">
        <v>8</v>
      </c>
      <c r="G1634" s="14"/>
    </row>
    <row r="1635" spans="2:7" ht="11.25" outlineLevel="5" x14ac:dyDescent="0.2">
      <c r="B1635" s="14" t="s">
        <v>3120</v>
      </c>
      <c r="C1635" s="14" t="s">
        <v>3121</v>
      </c>
      <c r="D1635" s="14">
        <v>1</v>
      </c>
      <c r="E1635" s="15">
        <v>975.53</v>
      </c>
      <c r="F1635" s="16" t="s">
        <v>8</v>
      </c>
      <c r="G1635" s="14"/>
    </row>
    <row r="1636" spans="2:7" ht="22.5" outlineLevel="5" x14ac:dyDescent="0.2">
      <c r="B1636" s="14" t="s">
        <v>3122</v>
      </c>
      <c r="C1636" s="14" t="s">
        <v>3123</v>
      </c>
      <c r="D1636" s="14">
        <v>1</v>
      </c>
      <c r="E1636" s="15">
        <v>827.09</v>
      </c>
      <c r="F1636" s="16" t="s">
        <v>8</v>
      </c>
      <c r="G1636" s="14"/>
    </row>
    <row r="1637" spans="2:7" ht="11.25" outlineLevel="5" x14ac:dyDescent="0.2">
      <c r="B1637" s="14" t="s">
        <v>3124</v>
      </c>
      <c r="C1637" s="14" t="s">
        <v>3125</v>
      </c>
      <c r="D1637" s="14">
        <v>1</v>
      </c>
      <c r="E1637" s="15">
        <v>784.66</v>
      </c>
      <c r="F1637" s="16" t="s">
        <v>8</v>
      </c>
      <c r="G1637" s="14"/>
    </row>
    <row r="1638" spans="2:7" ht="11.25" outlineLevel="5" x14ac:dyDescent="0.2">
      <c r="B1638" s="14" t="s">
        <v>3126</v>
      </c>
      <c r="C1638" s="14" t="s">
        <v>3127</v>
      </c>
      <c r="D1638" s="14">
        <v>1</v>
      </c>
      <c r="E1638" s="15">
        <v>763.46</v>
      </c>
      <c r="F1638" s="16" t="s">
        <v>8</v>
      </c>
      <c r="G1638" s="14"/>
    </row>
    <row r="1639" spans="2:7" ht="11.25" outlineLevel="5" x14ac:dyDescent="0.2">
      <c r="B1639" s="14" t="s">
        <v>3128</v>
      </c>
      <c r="C1639" s="14" t="s">
        <v>3129</v>
      </c>
      <c r="D1639" s="14">
        <v>1</v>
      </c>
      <c r="E1639" s="17">
        <v>1402.03</v>
      </c>
      <c r="F1639" s="16" t="s">
        <v>8</v>
      </c>
      <c r="G1639" s="14"/>
    </row>
    <row r="1640" spans="2:7" ht="11.25" outlineLevel="5" x14ac:dyDescent="0.2">
      <c r="B1640" s="14" t="s">
        <v>3130</v>
      </c>
      <c r="C1640" s="14" t="s">
        <v>3131</v>
      </c>
      <c r="D1640" s="14">
        <v>1</v>
      </c>
      <c r="E1640" s="15">
        <v>820.02</v>
      </c>
      <c r="F1640" s="16" t="s">
        <v>8</v>
      </c>
      <c r="G1640" s="14"/>
    </row>
    <row r="1641" spans="2:7" ht="11.25" outlineLevel="5" x14ac:dyDescent="0.2">
      <c r="B1641" s="14" t="s">
        <v>3132</v>
      </c>
      <c r="C1641" s="14" t="s">
        <v>3133</v>
      </c>
      <c r="D1641" s="14">
        <v>1</v>
      </c>
      <c r="E1641" s="17">
        <v>1017.94</v>
      </c>
      <c r="F1641" s="16" t="s">
        <v>8</v>
      </c>
      <c r="G1641" s="14"/>
    </row>
    <row r="1642" spans="2:7" ht="11.25" outlineLevel="5" x14ac:dyDescent="0.2">
      <c r="B1642" s="14" t="s">
        <v>3134</v>
      </c>
      <c r="C1642" s="14" t="s">
        <v>3135</v>
      </c>
      <c r="D1642" s="14">
        <v>1</v>
      </c>
      <c r="E1642" s="17">
        <v>1003.81</v>
      </c>
      <c r="F1642" s="16" t="s">
        <v>8</v>
      </c>
      <c r="G1642" s="14"/>
    </row>
    <row r="1643" spans="2:7" ht="12" outlineLevel="4" x14ac:dyDescent="0.2">
      <c r="B1643" s="12"/>
      <c r="C1643" s="37" t="s">
        <v>3136</v>
      </c>
      <c r="D1643" s="12"/>
      <c r="E1643" s="13"/>
      <c r="F1643" s="13"/>
      <c r="G1643" s="12"/>
    </row>
    <row r="1644" spans="2:7" ht="11.25" outlineLevel="5" x14ac:dyDescent="0.2">
      <c r="B1644" s="14" t="s">
        <v>3137</v>
      </c>
      <c r="C1644" s="14" t="s">
        <v>3138</v>
      </c>
      <c r="D1644" s="14">
        <v>1</v>
      </c>
      <c r="E1644" s="15">
        <v>452.42</v>
      </c>
      <c r="F1644" s="16" t="s">
        <v>8</v>
      </c>
      <c r="G1644" s="14"/>
    </row>
    <row r="1645" spans="2:7" ht="11.25" outlineLevel="5" x14ac:dyDescent="0.2">
      <c r="B1645" s="14" t="s">
        <v>3139</v>
      </c>
      <c r="C1645" s="14" t="s">
        <v>3140</v>
      </c>
      <c r="D1645" s="14">
        <v>1</v>
      </c>
      <c r="E1645" s="15">
        <v>480.7</v>
      </c>
      <c r="F1645" s="16" t="s">
        <v>8</v>
      </c>
      <c r="G1645" s="14"/>
    </row>
    <row r="1646" spans="2:7" ht="22.5" outlineLevel="5" x14ac:dyDescent="0.2">
      <c r="B1646" s="14" t="s">
        <v>3141</v>
      </c>
      <c r="C1646" s="14" t="s">
        <v>3142</v>
      </c>
      <c r="D1646" s="14">
        <v>1</v>
      </c>
      <c r="E1646" s="15">
        <v>544.33000000000004</v>
      </c>
      <c r="F1646" s="16" t="s">
        <v>8</v>
      </c>
      <c r="G1646" s="14"/>
    </row>
    <row r="1647" spans="2:7" ht="11.25" outlineLevel="5" x14ac:dyDescent="0.2">
      <c r="B1647" s="14" t="s">
        <v>3143</v>
      </c>
      <c r="C1647" s="14" t="s">
        <v>3144</v>
      </c>
      <c r="D1647" s="14">
        <v>1</v>
      </c>
      <c r="E1647" s="15">
        <v>996.74</v>
      </c>
      <c r="F1647" s="16" t="s">
        <v>8</v>
      </c>
      <c r="G1647" s="14"/>
    </row>
    <row r="1648" spans="2:7" ht="11.25" outlineLevel="5" x14ac:dyDescent="0.2">
      <c r="B1648" s="14" t="s">
        <v>3145</v>
      </c>
      <c r="C1648" s="14" t="s">
        <v>3146</v>
      </c>
      <c r="D1648" s="14">
        <v>1</v>
      </c>
      <c r="E1648" s="15">
        <v>685.7</v>
      </c>
      <c r="F1648" s="16" t="s">
        <v>8</v>
      </c>
      <c r="G1648" s="14"/>
    </row>
    <row r="1649" spans="2:7" ht="11.25" outlineLevel="5" x14ac:dyDescent="0.2">
      <c r="B1649" s="14" t="s">
        <v>3147</v>
      </c>
      <c r="C1649" s="14" t="s">
        <v>3148</v>
      </c>
      <c r="D1649" s="14">
        <v>1</v>
      </c>
      <c r="E1649" s="15">
        <v>452.42</v>
      </c>
      <c r="F1649" s="16" t="s">
        <v>8</v>
      </c>
      <c r="G1649" s="14"/>
    </row>
    <row r="1650" spans="2:7" ht="11.25" outlineLevel="5" x14ac:dyDescent="0.2">
      <c r="B1650" s="14" t="s">
        <v>3149</v>
      </c>
      <c r="C1650" s="14" t="s">
        <v>3150</v>
      </c>
      <c r="D1650" s="14">
        <v>1</v>
      </c>
      <c r="E1650" s="15">
        <v>480.7</v>
      </c>
      <c r="F1650" s="16" t="s">
        <v>8</v>
      </c>
      <c r="G1650" s="14"/>
    </row>
    <row r="1651" spans="2:7" ht="11.25" outlineLevel="5" x14ac:dyDescent="0.2">
      <c r="B1651" s="14" t="s">
        <v>3151</v>
      </c>
      <c r="C1651" s="14" t="s">
        <v>3152</v>
      </c>
      <c r="D1651" s="14">
        <v>1</v>
      </c>
      <c r="E1651" s="15">
        <v>487.77</v>
      </c>
      <c r="F1651" s="16" t="s">
        <v>8</v>
      </c>
      <c r="G1651" s="14"/>
    </row>
    <row r="1652" spans="2:7" ht="11.25" outlineLevel="5" x14ac:dyDescent="0.2">
      <c r="B1652" s="14" t="s">
        <v>3153</v>
      </c>
      <c r="C1652" s="14" t="s">
        <v>3154</v>
      </c>
      <c r="D1652" s="14">
        <v>1</v>
      </c>
      <c r="E1652" s="15">
        <v>593.80999999999995</v>
      </c>
      <c r="F1652" s="16" t="s">
        <v>8</v>
      </c>
      <c r="G1652" s="14"/>
    </row>
    <row r="1653" spans="2:7" ht="11.25" outlineLevel="5" x14ac:dyDescent="0.2">
      <c r="B1653" s="14" t="s">
        <v>3155</v>
      </c>
      <c r="C1653" s="14" t="s">
        <v>3156</v>
      </c>
      <c r="D1653" s="14">
        <v>1</v>
      </c>
      <c r="E1653" s="17">
        <v>2940.74</v>
      </c>
      <c r="F1653" s="16" t="s">
        <v>8</v>
      </c>
      <c r="G1653" s="14"/>
    </row>
    <row r="1654" spans="2:7" ht="11.25" outlineLevel="5" x14ac:dyDescent="0.2">
      <c r="B1654" s="14" t="s">
        <v>3157</v>
      </c>
      <c r="C1654" s="14" t="s">
        <v>3158</v>
      </c>
      <c r="D1654" s="14">
        <v>1</v>
      </c>
      <c r="E1654" s="17">
        <v>1491.58</v>
      </c>
      <c r="F1654" s="16" t="s">
        <v>8</v>
      </c>
      <c r="G1654" s="14"/>
    </row>
    <row r="1655" spans="2:7" ht="11.25" outlineLevel="5" x14ac:dyDescent="0.2">
      <c r="B1655" s="14" t="s">
        <v>3159</v>
      </c>
      <c r="C1655" s="14" t="s">
        <v>3160</v>
      </c>
      <c r="D1655" s="14">
        <v>1</v>
      </c>
      <c r="E1655" s="17">
        <v>2184.34</v>
      </c>
      <c r="F1655" s="16" t="s">
        <v>8</v>
      </c>
      <c r="G1655" s="14"/>
    </row>
    <row r="1656" spans="2:7" ht="11.25" outlineLevel="5" x14ac:dyDescent="0.2">
      <c r="B1656" s="14" t="s">
        <v>3161</v>
      </c>
      <c r="C1656" s="14" t="s">
        <v>3162</v>
      </c>
      <c r="D1656" s="14">
        <v>1</v>
      </c>
      <c r="E1656" s="17">
        <v>1088.6500000000001</v>
      </c>
      <c r="F1656" s="16" t="s">
        <v>8</v>
      </c>
      <c r="G1656" s="14"/>
    </row>
    <row r="1657" spans="2:7" ht="11.25" outlineLevel="5" x14ac:dyDescent="0.2">
      <c r="B1657" s="14" t="s">
        <v>3163</v>
      </c>
      <c r="C1657" s="14" t="s">
        <v>3164</v>
      </c>
      <c r="D1657" s="14">
        <v>1</v>
      </c>
      <c r="E1657" s="17">
        <v>1449.17</v>
      </c>
      <c r="F1657" s="16" t="s">
        <v>8</v>
      </c>
      <c r="G1657" s="14"/>
    </row>
    <row r="1658" spans="2:7" ht="11.25" outlineLevel="5" x14ac:dyDescent="0.2">
      <c r="B1658" s="14" t="s">
        <v>3165</v>
      </c>
      <c r="C1658" s="14" t="s">
        <v>3166</v>
      </c>
      <c r="D1658" s="14">
        <v>1</v>
      </c>
      <c r="E1658" s="17">
        <v>1187.6099999999999</v>
      </c>
      <c r="F1658" s="16" t="s">
        <v>8</v>
      </c>
      <c r="G1658" s="14"/>
    </row>
    <row r="1659" spans="2:7" ht="11.25" outlineLevel="5" x14ac:dyDescent="0.2">
      <c r="B1659" s="14" t="s">
        <v>3167</v>
      </c>
      <c r="C1659" s="14" t="s">
        <v>3168</v>
      </c>
      <c r="D1659" s="14">
        <v>1</v>
      </c>
      <c r="E1659" s="17">
        <v>1576.4</v>
      </c>
      <c r="F1659" s="16" t="s">
        <v>8</v>
      </c>
      <c r="G1659" s="14"/>
    </row>
    <row r="1660" spans="2:7" ht="11.25" outlineLevel="5" x14ac:dyDescent="0.2">
      <c r="B1660" s="14" t="s">
        <v>3169</v>
      </c>
      <c r="C1660" s="14" t="s">
        <v>3170</v>
      </c>
      <c r="D1660" s="14">
        <v>1</v>
      </c>
      <c r="E1660" s="15">
        <v>791.74</v>
      </c>
      <c r="F1660" s="16" t="s">
        <v>8</v>
      </c>
      <c r="G1660" s="14"/>
    </row>
    <row r="1661" spans="2:7" ht="11.25" outlineLevel="5" x14ac:dyDescent="0.2">
      <c r="B1661" s="14" t="s">
        <v>3171</v>
      </c>
      <c r="C1661" s="14" t="s">
        <v>3172</v>
      </c>
      <c r="D1661" s="14">
        <v>1</v>
      </c>
      <c r="E1661" s="17">
        <v>1053.29</v>
      </c>
      <c r="F1661" s="16" t="s">
        <v>8</v>
      </c>
      <c r="G1661" s="14"/>
    </row>
    <row r="1662" spans="2:7" ht="11.25" outlineLevel="5" x14ac:dyDescent="0.2">
      <c r="B1662" s="14" t="s">
        <v>3173</v>
      </c>
      <c r="C1662" s="14" t="s">
        <v>3174</v>
      </c>
      <c r="D1662" s="14">
        <v>1</v>
      </c>
      <c r="E1662" s="17">
        <v>2297.4499999999998</v>
      </c>
      <c r="F1662" s="16" t="s">
        <v>8</v>
      </c>
      <c r="G1662" s="14"/>
    </row>
    <row r="1663" spans="2:7" ht="11.25" outlineLevel="5" x14ac:dyDescent="0.2">
      <c r="B1663" s="14" t="s">
        <v>3175</v>
      </c>
      <c r="C1663" s="14" t="s">
        <v>3176</v>
      </c>
      <c r="D1663" s="14">
        <v>1</v>
      </c>
      <c r="E1663" s="15">
        <v>487.77</v>
      </c>
      <c r="F1663" s="16" t="s">
        <v>8</v>
      </c>
      <c r="G1663" s="14"/>
    </row>
    <row r="1664" spans="2:7" ht="11.25" outlineLevel="5" x14ac:dyDescent="0.2">
      <c r="B1664" s="14" t="s">
        <v>3177</v>
      </c>
      <c r="C1664" s="14" t="s">
        <v>3178</v>
      </c>
      <c r="D1664" s="14">
        <v>1</v>
      </c>
      <c r="E1664" s="15">
        <v>834.16</v>
      </c>
      <c r="F1664" s="16" t="s">
        <v>8</v>
      </c>
      <c r="G1664" s="14"/>
    </row>
    <row r="1665" spans="2:7" ht="11.25" outlineLevel="5" x14ac:dyDescent="0.2">
      <c r="B1665" s="14" t="s">
        <v>3179</v>
      </c>
      <c r="C1665" s="14" t="s">
        <v>3180</v>
      </c>
      <c r="D1665" s="14">
        <v>1</v>
      </c>
      <c r="E1665" s="17">
        <v>1350.21</v>
      </c>
      <c r="F1665" s="16" t="s">
        <v>8</v>
      </c>
      <c r="G1665" s="14"/>
    </row>
    <row r="1666" spans="2:7" ht="11.25" outlineLevel="5" x14ac:dyDescent="0.2">
      <c r="B1666" s="14" t="s">
        <v>3181</v>
      </c>
      <c r="C1666" s="14" t="s">
        <v>3182</v>
      </c>
      <c r="D1666" s="14">
        <v>1</v>
      </c>
      <c r="E1666" s="17">
        <v>1753.14</v>
      </c>
      <c r="F1666" s="16" t="s">
        <v>8</v>
      </c>
      <c r="G1666" s="14"/>
    </row>
    <row r="1667" spans="2:7" ht="11.25" outlineLevel="5" x14ac:dyDescent="0.2">
      <c r="B1667" s="14" t="s">
        <v>3183</v>
      </c>
      <c r="C1667" s="14" t="s">
        <v>3184</v>
      </c>
      <c r="D1667" s="14">
        <v>1</v>
      </c>
      <c r="E1667" s="17">
        <v>1442.09</v>
      </c>
      <c r="F1667" s="16" t="s">
        <v>8</v>
      </c>
      <c r="G1667" s="14"/>
    </row>
    <row r="1668" spans="2:7" ht="11.25" outlineLevel="5" x14ac:dyDescent="0.2">
      <c r="B1668" s="14" t="s">
        <v>3185</v>
      </c>
      <c r="C1668" s="14" t="s">
        <v>3186</v>
      </c>
      <c r="D1668" s="14">
        <v>1</v>
      </c>
      <c r="E1668" s="17">
        <v>1809.69</v>
      </c>
      <c r="F1668" s="16" t="s">
        <v>8</v>
      </c>
      <c r="G1668" s="14"/>
    </row>
    <row r="1669" spans="2:7" ht="11.25" outlineLevel="5" x14ac:dyDescent="0.2">
      <c r="B1669" s="14" t="s">
        <v>3187</v>
      </c>
      <c r="C1669" s="14" t="s">
        <v>3188</v>
      </c>
      <c r="D1669" s="14">
        <v>1</v>
      </c>
      <c r="E1669" s="17">
        <v>2000.56</v>
      </c>
      <c r="F1669" s="16" t="s">
        <v>8</v>
      </c>
      <c r="G1669" s="14"/>
    </row>
    <row r="1670" spans="2:7" ht="12" outlineLevel="3" x14ac:dyDescent="0.2">
      <c r="B1670" s="10"/>
      <c r="C1670" s="36" t="s">
        <v>3189</v>
      </c>
      <c r="D1670" s="10"/>
      <c r="E1670" s="11"/>
      <c r="F1670" s="11"/>
      <c r="G1670" s="10"/>
    </row>
    <row r="1671" spans="2:7" ht="12" outlineLevel="4" x14ac:dyDescent="0.2">
      <c r="B1671" s="12"/>
      <c r="C1671" s="37" t="s">
        <v>3190</v>
      </c>
      <c r="D1671" s="12"/>
      <c r="E1671" s="13"/>
      <c r="F1671" s="13"/>
      <c r="G1671" s="12"/>
    </row>
    <row r="1672" spans="2:7" ht="11.25" outlineLevel="5" x14ac:dyDescent="0.2">
      <c r="B1672" s="14" t="s">
        <v>3191</v>
      </c>
      <c r="C1672" s="14" t="s">
        <v>3192</v>
      </c>
      <c r="D1672" s="14">
        <v>1</v>
      </c>
      <c r="E1672" s="15">
        <v>565.09</v>
      </c>
      <c r="F1672" s="16" t="s">
        <v>8</v>
      </c>
      <c r="G1672" s="38" t="str">
        <f>HYPERLINK("http://enext.ua/s0100231")</f>
        <v>http://enext.ua/s0100231</v>
      </c>
    </row>
    <row r="1673" spans="2:7" ht="11.25" outlineLevel="5" x14ac:dyDescent="0.2">
      <c r="B1673" s="14" t="s">
        <v>3193</v>
      </c>
      <c r="C1673" s="14" t="s">
        <v>3194</v>
      </c>
      <c r="D1673" s="14">
        <v>1</v>
      </c>
      <c r="E1673" s="15">
        <v>723.27</v>
      </c>
      <c r="F1673" s="16" t="s">
        <v>8</v>
      </c>
      <c r="G1673" s="38" t="str">
        <f>HYPERLINK("http://enext.ua/s0100232")</f>
        <v>http://enext.ua/s0100232</v>
      </c>
    </row>
    <row r="1674" spans="2:7" ht="11.25" outlineLevel="5" x14ac:dyDescent="0.2">
      <c r="B1674" s="14" t="s">
        <v>3195</v>
      </c>
      <c r="C1674" s="14" t="s">
        <v>3196</v>
      </c>
      <c r="D1674" s="14">
        <v>1</v>
      </c>
      <c r="E1674" s="15">
        <v>820.18</v>
      </c>
      <c r="F1674" s="16" t="s">
        <v>8</v>
      </c>
      <c r="G1674" s="38" t="str">
        <f>HYPERLINK("http://enext.ua/s0100233")</f>
        <v>http://enext.ua/s0100233</v>
      </c>
    </row>
    <row r="1675" spans="2:7" ht="11.25" outlineLevel="5" x14ac:dyDescent="0.2">
      <c r="B1675" s="14" t="s">
        <v>3197</v>
      </c>
      <c r="C1675" s="14" t="s">
        <v>3198</v>
      </c>
      <c r="D1675" s="14">
        <v>1</v>
      </c>
      <c r="E1675" s="15">
        <v>946.91</v>
      </c>
      <c r="F1675" s="16" t="s">
        <v>8</v>
      </c>
      <c r="G1675" s="38" t="str">
        <f>HYPERLINK("http://enext.ua/s0100234")</f>
        <v>http://enext.ua/s0100234</v>
      </c>
    </row>
    <row r="1676" spans="2:7" ht="11.25" outlineLevel="5" x14ac:dyDescent="0.2">
      <c r="B1676" s="14" t="s">
        <v>3199</v>
      </c>
      <c r="C1676" s="14" t="s">
        <v>3200</v>
      </c>
      <c r="D1676" s="14">
        <v>1</v>
      </c>
      <c r="E1676" s="17">
        <v>1008</v>
      </c>
      <c r="F1676" s="16" t="s">
        <v>8</v>
      </c>
      <c r="G1676" s="38" t="str">
        <f>HYPERLINK("http://enext.ua/s0100235")</f>
        <v>http://enext.ua/s0100235</v>
      </c>
    </row>
    <row r="1677" spans="2:7" ht="11.25" outlineLevel="5" x14ac:dyDescent="0.2">
      <c r="B1677" s="14" t="s">
        <v>3201</v>
      </c>
      <c r="C1677" s="14" t="s">
        <v>3202</v>
      </c>
      <c r="D1677" s="14">
        <v>1</v>
      </c>
      <c r="E1677" s="17">
        <v>1189.0899999999999</v>
      </c>
      <c r="F1677" s="16" t="s">
        <v>8</v>
      </c>
      <c r="G1677" s="38" t="str">
        <f>HYPERLINK("http://enext.ua/s0100236")</f>
        <v>http://enext.ua/s0100236</v>
      </c>
    </row>
    <row r="1678" spans="2:7" ht="11.25" outlineLevel="5" x14ac:dyDescent="0.2">
      <c r="B1678" s="14" t="s">
        <v>3203</v>
      </c>
      <c r="C1678" s="14" t="s">
        <v>3204</v>
      </c>
      <c r="D1678" s="14">
        <v>1</v>
      </c>
      <c r="E1678" s="17">
        <v>1338.18</v>
      </c>
      <c r="F1678" s="16" t="s">
        <v>8</v>
      </c>
      <c r="G1678" s="38" t="str">
        <f>HYPERLINK("http://enext.ua/s0100237")</f>
        <v>http://enext.ua/s0100237</v>
      </c>
    </row>
    <row r="1679" spans="2:7" ht="11.25" outlineLevel="5" x14ac:dyDescent="0.2">
      <c r="B1679" s="14" t="s">
        <v>3205</v>
      </c>
      <c r="C1679" s="14" t="s">
        <v>3206</v>
      </c>
      <c r="D1679" s="14">
        <v>1</v>
      </c>
      <c r="E1679" s="17">
        <v>2069.96</v>
      </c>
      <c r="F1679" s="16" t="s">
        <v>8</v>
      </c>
      <c r="G1679" s="38" t="str">
        <f>HYPERLINK("http://enext.ua/s0100238")</f>
        <v>http://enext.ua/s0100238</v>
      </c>
    </row>
    <row r="1680" spans="2:7" ht="22.5" outlineLevel="5" x14ac:dyDescent="0.2">
      <c r="B1680" s="14" t="s">
        <v>3207</v>
      </c>
      <c r="C1680" s="14" t="s">
        <v>3208</v>
      </c>
      <c r="D1680" s="14">
        <v>1</v>
      </c>
      <c r="E1680" s="17">
        <v>2534.25</v>
      </c>
      <c r="F1680" s="16" t="s">
        <v>8</v>
      </c>
      <c r="G1680" s="38" t="str">
        <f>HYPERLINK("http://enext.ua/s0100239")</f>
        <v>http://enext.ua/s0100239</v>
      </c>
    </row>
    <row r="1681" spans="2:7" ht="22.5" outlineLevel="5" x14ac:dyDescent="0.2">
      <c r="B1681" s="14" t="s">
        <v>3209</v>
      </c>
      <c r="C1681" s="14" t="s">
        <v>3210</v>
      </c>
      <c r="D1681" s="14">
        <v>1</v>
      </c>
      <c r="E1681" s="17">
        <v>3770.12</v>
      </c>
      <c r="F1681" s="16" t="s">
        <v>8</v>
      </c>
      <c r="G1681" s="38" t="str">
        <f>HYPERLINK("http://enext.ua/s0100240")</f>
        <v>http://enext.ua/s0100240</v>
      </c>
    </row>
    <row r="1682" spans="2:7" ht="22.5" outlineLevel="5" x14ac:dyDescent="0.2">
      <c r="B1682" s="14" t="s">
        <v>3211</v>
      </c>
      <c r="C1682" s="14" t="s">
        <v>3212</v>
      </c>
      <c r="D1682" s="14">
        <v>1</v>
      </c>
      <c r="E1682" s="17">
        <v>3977.02</v>
      </c>
      <c r="F1682" s="16" t="s">
        <v>8</v>
      </c>
      <c r="G1682" s="38" t="str">
        <f>HYPERLINK("http://enext.ua/s0100241")</f>
        <v>http://enext.ua/s0100241</v>
      </c>
    </row>
    <row r="1683" spans="2:7" ht="22.5" outlineLevel="5" x14ac:dyDescent="0.2">
      <c r="B1683" s="14" t="s">
        <v>3213</v>
      </c>
      <c r="C1683" s="14" t="s">
        <v>3214</v>
      </c>
      <c r="D1683" s="14">
        <v>1</v>
      </c>
      <c r="E1683" s="17">
        <v>6415.95</v>
      </c>
      <c r="F1683" s="16" t="s">
        <v>8</v>
      </c>
      <c r="G1683" s="38" t="str">
        <f>HYPERLINK("http://enext.ua/s0100242")</f>
        <v>http://enext.ua/s0100242</v>
      </c>
    </row>
    <row r="1684" spans="2:7" ht="11.25" outlineLevel="5" x14ac:dyDescent="0.2">
      <c r="B1684" s="14" t="s">
        <v>3215</v>
      </c>
      <c r="C1684" s="14" t="s">
        <v>3216</v>
      </c>
      <c r="D1684" s="14">
        <v>1</v>
      </c>
      <c r="E1684" s="15">
        <v>733.09</v>
      </c>
      <c r="F1684" s="16" t="s">
        <v>8</v>
      </c>
      <c r="G1684" s="38" t="str">
        <f>HYPERLINK("http://enext.ua/s0100243")</f>
        <v>http://enext.ua/s0100243</v>
      </c>
    </row>
    <row r="1685" spans="2:7" ht="11.25" outlineLevel="5" x14ac:dyDescent="0.2">
      <c r="B1685" s="14" t="s">
        <v>3217</v>
      </c>
      <c r="C1685" s="14" t="s">
        <v>3218</v>
      </c>
      <c r="D1685" s="14">
        <v>1</v>
      </c>
      <c r="E1685" s="17">
        <v>1036.3599999999999</v>
      </c>
      <c r="F1685" s="16" t="s">
        <v>8</v>
      </c>
      <c r="G1685" s="38" t="str">
        <f>HYPERLINK("http://enext.ua/s0100244")</f>
        <v>http://enext.ua/s0100244</v>
      </c>
    </row>
    <row r="1686" spans="2:7" ht="11.25" outlineLevel="5" x14ac:dyDescent="0.2">
      <c r="B1686" s="14" t="s">
        <v>3219</v>
      </c>
      <c r="C1686" s="14" t="s">
        <v>3220</v>
      </c>
      <c r="D1686" s="14">
        <v>1</v>
      </c>
      <c r="E1686" s="17">
        <v>1256.73</v>
      </c>
      <c r="F1686" s="16" t="s">
        <v>8</v>
      </c>
      <c r="G1686" s="38" t="str">
        <f>HYPERLINK("http://enext.ua/s0100245")</f>
        <v>http://enext.ua/s0100245</v>
      </c>
    </row>
    <row r="1687" spans="2:7" ht="11.25" outlineLevel="5" x14ac:dyDescent="0.2">
      <c r="B1687" s="14" t="s">
        <v>3221</v>
      </c>
      <c r="C1687" s="14" t="s">
        <v>3222</v>
      </c>
      <c r="D1687" s="14">
        <v>1</v>
      </c>
      <c r="E1687" s="17">
        <v>1291.6400000000001</v>
      </c>
      <c r="F1687" s="16" t="s">
        <v>8</v>
      </c>
      <c r="G1687" s="38" t="str">
        <f>HYPERLINK("http://enext.ua/s0100246")</f>
        <v>http://enext.ua/s0100246</v>
      </c>
    </row>
    <row r="1688" spans="2:7" ht="11.25" outlineLevel="5" x14ac:dyDescent="0.2">
      <c r="B1688" s="14" t="s">
        <v>3223</v>
      </c>
      <c r="C1688" s="14" t="s">
        <v>3224</v>
      </c>
      <c r="D1688" s="14">
        <v>1</v>
      </c>
      <c r="E1688" s="17">
        <v>1588.36</v>
      </c>
      <c r="F1688" s="16" t="s">
        <v>8</v>
      </c>
      <c r="G1688" s="38" t="str">
        <f>HYPERLINK("http://enext.ua/s0100247")</f>
        <v>http://enext.ua/s0100247</v>
      </c>
    </row>
    <row r="1689" spans="2:7" ht="11.25" outlineLevel="5" x14ac:dyDescent="0.2">
      <c r="B1689" s="14" t="s">
        <v>3225</v>
      </c>
      <c r="C1689" s="14" t="s">
        <v>3226</v>
      </c>
      <c r="D1689" s="14">
        <v>1</v>
      </c>
      <c r="E1689" s="17">
        <v>1723.64</v>
      </c>
      <c r="F1689" s="16" t="s">
        <v>8</v>
      </c>
      <c r="G1689" s="38" t="str">
        <f>HYPERLINK("http://enext.ua/s0100248")</f>
        <v>http://enext.ua/s0100248</v>
      </c>
    </row>
    <row r="1690" spans="2:7" ht="11.25" outlineLevel="5" x14ac:dyDescent="0.2">
      <c r="B1690" s="14" t="s">
        <v>3227</v>
      </c>
      <c r="C1690" s="14" t="s">
        <v>3228</v>
      </c>
      <c r="D1690" s="14">
        <v>1</v>
      </c>
      <c r="E1690" s="17">
        <v>2843.64</v>
      </c>
      <c r="F1690" s="16" t="s">
        <v>8</v>
      </c>
      <c r="G1690" s="38" t="str">
        <f>HYPERLINK("http://enext.ua/s0100249")</f>
        <v>http://enext.ua/s0100249</v>
      </c>
    </row>
    <row r="1691" spans="2:7" ht="22.5" outlineLevel="5" x14ac:dyDescent="0.2">
      <c r="B1691" s="14" t="s">
        <v>3229</v>
      </c>
      <c r="C1691" s="14" t="s">
        <v>3230</v>
      </c>
      <c r="D1691" s="14">
        <v>1</v>
      </c>
      <c r="E1691" s="17">
        <v>3366.36</v>
      </c>
      <c r="F1691" s="16" t="s">
        <v>8</v>
      </c>
      <c r="G1691" s="38" t="str">
        <f>HYPERLINK("http://enext.ua/s0100250")</f>
        <v>http://enext.ua/s0100250</v>
      </c>
    </row>
    <row r="1692" spans="2:7" ht="22.5" outlineLevel="5" x14ac:dyDescent="0.2">
      <c r="B1692" s="14" t="s">
        <v>3231</v>
      </c>
      <c r="C1692" s="14" t="s">
        <v>3232</v>
      </c>
      <c r="D1692" s="14">
        <v>1</v>
      </c>
      <c r="E1692" s="17">
        <v>4338.6400000000003</v>
      </c>
      <c r="F1692" s="16" t="s">
        <v>8</v>
      </c>
      <c r="G1692" s="38" t="str">
        <f>HYPERLINK("http://enext.ua/s0100251")</f>
        <v>http://enext.ua/s0100251</v>
      </c>
    </row>
    <row r="1693" spans="2:7" ht="22.5" outlineLevel="5" x14ac:dyDescent="0.2">
      <c r="B1693" s="14" t="s">
        <v>3233</v>
      </c>
      <c r="C1693" s="14" t="s">
        <v>3234</v>
      </c>
      <c r="D1693" s="14">
        <v>1</v>
      </c>
      <c r="E1693" s="17">
        <v>4532.88</v>
      </c>
      <c r="F1693" s="16" t="s">
        <v>8</v>
      </c>
      <c r="G1693" s="38" t="str">
        <f>HYPERLINK("http://enext.ua/s0100252")</f>
        <v>http://enext.ua/s0100252</v>
      </c>
    </row>
    <row r="1694" spans="2:7" ht="22.5" outlineLevel="5" x14ac:dyDescent="0.2">
      <c r="B1694" s="14" t="s">
        <v>3235</v>
      </c>
      <c r="C1694" s="14" t="s">
        <v>3236</v>
      </c>
      <c r="D1694" s="14">
        <v>1</v>
      </c>
      <c r="E1694" s="17">
        <v>7046.36</v>
      </c>
      <c r="F1694" s="16" t="s">
        <v>8</v>
      </c>
      <c r="G1694" s="38" t="str">
        <f>HYPERLINK("http://enext.ua/s0100253")</f>
        <v>http://enext.ua/s0100253</v>
      </c>
    </row>
    <row r="1695" spans="2:7" ht="12" outlineLevel="4" x14ac:dyDescent="0.2">
      <c r="B1695" s="12"/>
      <c r="C1695" s="37" t="s">
        <v>3237</v>
      </c>
      <c r="D1695" s="12"/>
      <c r="E1695" s="13"/>
      <c r="F1695" s="13"/>
      <c r="G1695" s="12"/>
    </row>
    <row r="1696" spans="2:7" ht="11.25" outlineLevel="5" x14ac:dyDescent="0.2">
      <c r="B1696" s="14" t="s">
        <v>3238</v>
      </c>
      <c r="C1696" s="14" t="s">
        <v>3239</v>
      </c>
      <c r="D1696" s="14">
        <v>1</v>
      </c>
      <c r="E1696" s="15">
        <v>473.63</v>
      </c>
      <c r="F1696" s="16" t="s">
        <v>8</v>
      </c>
      <c r="G1696" s="38" t="str">
        <f>HYPERLINK("http://enext.ua/БМ-25С+П")</f>
        <v>http://enext.ua/БМ-25С+П</v>
      </c>
    </row>
    <row r="1697" spans="2:7" ht="11.25" outlineLevel="5" x14ac:dyDescent="0.2">
      <c r="B1697" s="14" t="s">
        <v>3240</v>
      </c>
      <c r="C1697" s="14" t="s">
        <v>3241</v>
      </c>
      <c r="D1697" s="14">
        <v>1</v>
      </c>
      <c r="E1697" s="15">
        <v>508.97</v>
      </c>
      <c r="F1697" s="16" t="s">
        <v>8</v>
      </c>
      <c r="G1697" s="38" t="str">
        <f>HYPERLINK("http://enext.ua/БМ-30С+П")</f>
        <v>http://enext.ua/БМ-30С+П</v>
      </c>
    </row>
    <row r="1698" spans="2:7" ht="11.25" outlineLevel="5" x14ac:dyDescent="0.2">
      <c r="B1698" s="14" t="s">
        <v>3242</v>
      </c>
      <c r="C1698" s="14" t="s">
        <v>3243</v>
      </c>
      <c r="D1698" s="14">
        <v>1</v>
      </c>
      <c r="E1698" s="15">
        <v>678.63</v>
      </c>
      <c r="F1698" s="16" t="s">
        <v>8</v>
      </c>
      <c r="G1698" s="38" t="str">
        <f>HYPERLINK("http://enext.ua/БМ-33С+П")</f>
        <v>http://enext.ua/БМ-33С+П</v>
      </c>
    </row>
    <row r="1699" spans="2:7" ht="11.25" outlineLevel="5" x14ac:dyDescent="0.2">
      <c r="B1699" s="14" t="s">
        <v>3244</v>
      </c>
      <c r="C1699" s="14" t="s">
        <v>3245</v>
      </c>
      <c r="D1699" s="14">
        <v>1</v>
      </c>
      <c r="E1699" s="15">
        <v>671.57</v>
      </c>
      <c r="F1699" s="16" t="s">
        <v>8</v>
      </c>
      <c r="G1699" s="38" t="str">
        <f>HYPERLINK("http://enext.ua/БМ-40С+П")</f>
        <v>http://enext.ua/БМ-40С+П</v>
      </c>
    </row>
    <row r="1700" spans="2:7" ht="11.25" outlineLevel="5" x14ac:dyDescent="0.2">
      <c r="B1700" s="14" t="s">
        <v>3246</v>
      </c>
      <c r="C1700" s="14" t="s">
        <v>3247</v>
      </c>
      <c r="D1700" s="14">
        <v>1</v>
      </c>
      <c r="E1700" s="17">
        <v>1194.67</v>
      </c>
      <c r="F1700" s="16" t="s">
        <v>8</v>
      </c>
      <c r="G1700" s="38" t="str">
        <f>HYPERLINK("http://enext.ua/БМ-50C+П")</f>
        <v>http://enext.ua/БМ-50C+П</v>
      </c>
    </row>
    <row r="1701" spans="2:7" ht="11.25" outlineLevel="5" x14ac:dyDescent="0.2">
      <c r="B1701" s="14" t="s">
        <v>3248</v>
      </c>
      <c r="C1701" s="14" t="s">
        <v>3249</v>
      </c>
      <c r="D1701" s="14">
        <v>1</v>
      </c>
      <c r="E1701" s="17">
        <v>1534</v>
      </c>
      <c r="F1701" s="16" t="s">
        <v>8</v>
      </c>
      <c r="G1701" s="38" t="str">
        <f>HYPERLINK("http://enext.ua/БМ-62C+П")</f>
        <v>http://enext.ua/БМ-62C+П</v>
      </c>
    </row>
    <row r="1702" spans="2:7" ht="11.25" outlineLevel="5" x14ac:dyDescent="0.2">
      <c r="B1702" s="14" t="s">
        <v>3250</v>
      </c>
      <c r="C1702" s="14" t="s">
        <v>3251</v>
      </c>
      <c r="D1702" s="14">
        <v>1</v>
      </c>
      <c r="E1702" s="17">
        <v>2283.31</v>
      </c>
      <c r="F1702" s="16" t="s">
        <v>8</v>
      </c>
      <c r="G1702" s="38" t="str">
        <f>HYPERLINK("http://enext.ua/БМ-70С+П")</f>
        <v>http://enext.ua/БМ-70С+П</v>
      </c>
    </row>
    <row r="1703" spans="2:7" ht="12" outlineLevel="4" x14ac:dyDescent="0.2">
      <c r="B1703" s="12"/>
      <c r="C1703" s="37" t="s">
        <v>3252</v>
      </c>
      <c r="D1703" s="12"/>
      <c r="E1703" s="13"/>
      <c r="F1703" s="13"/>
      <c r="G1703" s="12"/>
    </row>
    <row r="1704" spans="2:7" ht="11.25" outlineLevel="5" x14ac:dyDescent="0.2">
      <c r="B1704" s="14" t="s">
        <v>3253</v>
      </c>
      <c r="C1704" s="14" t="s">
        <v>3254</v>
      </c>
      <c r="D1704" s="14">
        <v>1</v>
      </c>
      <c r="E1704" s="15">
        <v>643.29</v>
      </c>
      <c r="F1704" s="16" t="s">
        <v>8</v>
      </c>
      <c r="G1704" s="38" t="str">
        <f>HYPERLINK("http://enext.ua/БМ-20+П")</f>
        <v>http://enext.ua/БМ-20+П</v>
      </c>
    </row>
    <row r="1705" spans="2:7" ht="11.25" outlineLevel="5" x14ac:dyDescent="0.2">
      <c r="B1705" s="14" t="s">
        <v>3255</v>
      </c>
      <c r="C1705" s="14" t="s">
        <v>3256</v>
      </c>
      <c r="D1705" s="14">
        <v>1</v>
      </c>
      <c r="E1705" s="15">
        <v>784.66</v>
      </c>
      <c r="F1705" s="16" t="s">
        <v>8</v>
      </c>
      <c r="G1705" s="38" t="str">
        <f>HYPERLINK("http://enext.ua/БМ-25+П")</f>
        <v>http://enext.ua/БМ-25+П</v>
      </c>
    </row>
    <row r="1706" spans="2:7" ht="11.25" outlineLevel="5" x14ac:dyDescent="0.2">
      <c r="B1706" s="14" t="s">
        <v>3257</v>
      </c>
      <c r="C1706" s="14" t="s">
        <v>3258</v>
      </c>
      <c r="D1706" s="14">
        <v>1</v>
      </c>
      <c r="E1706" s="15">
        <v>791.74</v>
      </c>
      <c r="F1706" s="16" t="s">
        <v>8</v>
      </c>
      <c r="G1706" s="38" t="str">
        <f>HYPERLINK("http://enext.ua/БМ-30+П")</f>
        <v>http://enext.ua/БМ-30+П</v>
      </c>
    </row>
    <row r="1707" spans="2:7" ht="11.25" outlineLevel="5" x14ac:dyDescent="0.2">
      <c r="B1707" s="14" t="s">
        <v>3259</v>
      </c>
      <c r="C1707" s="14" t="s">
        <v>3260</v>
      </c>
      <c r="D1707" s="14">
        <v>1</v>
      </c>
      <c r="E1707" s="15">
        <v>918.98</v>
      </c>
      <c r="F1707" s="16" t="s">
        <v>8</v>
      </c>
      <c r="G1707" s="38" t="str">
        <f>HYPERLINK("http://enext.ua/БМ-33+П")</f>
        <v>http://enext.ua/БМ-33+П</v>
      </c>
    </row>
    <row r="1708" spans="2:7" ht="11.25" outlineLevel="5" x14ac:dyDescent="0.2">
      <c r="B1708" s="14" t="s">
        <v>3261</v>
      </c>
      <c r="C1708" s="14" t="s">
        <v>3262</v>
      </c>
      <c r="D1708" s="14">
        <v>1</v>
      </c>
      <c r="E1708" s="17">
        <v>1095.7</v>
      </c>
      <c r="F1708" s="16" t="s">
        <v>8</v>
      </c>
      <c r="G1708" s="38" t="str">
        <f>HYPERLINK("http://enext.ua/БМ-35+П")</f>
        <v>http://enext.ua/БМ-35+П</v>
      </c>
    </row>
    <row r="1709" spans="2:7" ht="11.25" outlineLevel="5" x14ac:dyDescent="0.2">
      <c r="B1709" s="14" t="s">
        <v>3263</v>
      </c>
      <c r="C1709" s="14" t="s">
        <v>3264</v>
      </c>
      <c r="D1709" s="14">
        <v>1</v>
      </c>
      <c r="E1709" s="15">
        <v>855.36</v>
      </c>
      <c r="F1709" s="16" t="s">
        <v>8</v>
      </c>
      <c r="G1709" s="38" t="str">
        <f>HYPERLINK("http://enext.ua/БМ-40(стекло)+П")</f>
        <v>http://enext.ua/БМ-40(стекло)+П</v>
      </c>
    </row>
    <row r="1710" spans="2:7" ht="11.25" outlineLevel="5" x14ac:dyDescent="0.2">
      <c r="B1710" s="14" t="s">
        <v>3265</v>
      </c>
      <c r="C1710" s="14" t="s">
        <v>3266</v>
      </c>
      <c r="D1710" s="14">
        <v>1</v>
      </c>
      <c r="E1710" s="15">
        <v>820.02</v>
      </c>
      <c r="F1710" s="16" t="s">
        <v>8</v>
      </c>
      <c r="G1710" s="38" t="str">
        <f>HYPERLINK("http://enext.ua/БМ-40+П")</f>
        <v>http://enext.ua/БМ-40+П</v>
      </c>
    </row>
    <row r="1711" spans="2:7" ht="11.25" outlineLevel="5" x14ac:dyDescent="0.2">
      <c r="B1711" s="14" t="s">
        <v>3267</v>
      </c>
      <c r="C1711" s="14" t="s">
        <v>3268</v>
      </c>
      <c r="D1711" s="14">
        <v>1</v>
      </c>
      <c r="E1711" s="15">
        <v>996.74</v>
      </c>
      <c r="F1711" s="16" t="s">
        <v>8</v>
      </c>
      <c r="G1711" s="38" t="str">
        <f>HYPERLINK("http://enext.ua/БМ-43+П")</f>
        <v>http://enext.ua/БМ-43+П</v>
      </c>
    </row>
    <row r="1712" spans="2:7" ht="11.25" outlineLevel="5" x14ac:dyDescent="0.2">
      <c r="B1712" s="14" t="s">
        <v>3269</v>
      </c>
      <c r="C1712" s="14" t="s">
        <v>3270</v>
      </c>
      <c r="D1712" s="14">
        <v>1</v>
      </c>
      <c r="E1712" s="17">
        <v>1371.41</v>
      </c>
      <c r="F1712" s="16" t="s">
        <v>8</v>
      </c>
      <c r="G1712" s="38" t="str">
        <f>HYPERLINK("http://enext.ua/БМ-44+П")</f>
        <v>http://enext.ua/БМ-44+П</v>
      </c>
    </row>
    <row r="1713" spans="2:7" ht="11.25" outlineLevel="5" x14ac:dyDescent="0.2">
      <c r="B1713" s="14" t="s">
        <v>3271</v>
      </c>
      <c r="C1713" s="14" t="s">
        <v>3272</v>
      </c>
      <c r="D1713" s="14">
        <v>1</v>
      </c>
      <c r="E1713" s="17">
        <v>1781.42</v>
      </c>
      <c r="F1713" s="16" t="s">
        <v>8</v>
      </c>
      <c r="G1713" s="38" t="str">
        <f>HYPERLINK("http://enext.ua/БМ-45+П")</f>
        <v>http://enext.ua/БМ-45+П</v>
      </c>
    </row>
    <row r="1714" spans="2:7" ht="11.25" outlineLevel="5" x14ac:dyDescent="0.2">
      <c r="B1714" s="14" t="s">
        <v>3273</v>
      </c>
      <c r="C1714" s="14" t="s">
        <v>3274</v>
      </c>
      <c r="D1714" s="14">
        <v>1</v>
      </c>
      <c r="E1714" s="17">
        <v>1583.47</v>
      </c>
      <c r="F1714" s="16" t="s">
        <v>8</v>
      </c>
      <c r="G1714" s="38" t="str">
        <f>HYPERLINK("http://enext.ua/БМ-50(стекло)+П")</f>
        <v>http://enext.ua/БМ-50(стекло)+П</v>
      </c>
    </row>
    <row r="1715" spans="2:7" ht="11.25" outlineLevel="5" x14ac:dyDescent="0.2">
      <c r="B1715" s="14" t="s">
        <v>3275</v>
      </c>
      <c r="C1715" s="14" t="s">
        <v>3276</v>
      </c>
      <c r="D1715" s="14">
        <v>1</v>
      </c>
      <c r="E1715" s="17">
        <v>1618.82</v>
      </c>
      <c r="F1715" s="16" t="s">
        <v>8</v>
      </c>
      <c r="G1715" s="38" t="str">
        <f>HYPERLINK("http://enext.ua/БМ-50+П")</f>
        <v>http://enext.ua/БМ-50+П</v>
      </c>
    </row>
    <row r="1716" spans="2:7" ht="11.25" outlineLevel="5" x14ac:dyDescent="0.2">
      <c r="B1716" s="14" t="s">
        <v>3277</v>
      </c>
      <c r="C1716" s="14" t="s">
        <v>3278</v>
      </c>
      <c r="D1716" s="14">
        <v>1</v>
      </c>
      <c r="E1716" s="17">
        <v>1866.24</v>
      </c>
      <c r="F1716" s="16" t="s">
        <v>8</v>
      </c>
      <c r="G1716" s="38" t="str">
        <f>HYPERLINK("http://enext.ua/БМ-51+П")</f>
        <v>http://enext.ua/БМ-51+П</v>
      </c>
    </row>
    <row r="1717" spans="2:7" ht="11.25" outlineLevel="5" x14ac:dyDescent="0.2">
      <c r="B1717" s="14" t="s">
        <v>3279</v>
      </c>
      <c r="C1717" s="14" t="s">
        <v>3280</v>
      </c>
      <c r="D1717" s="14">
        <v>1</v>
      </c>
      <c r="E1717" s="17">
        <v>2389.35</v>
      </c>
      <c r="F1717" s="16" t="s">
        <v>8</v>
      </c>
      <c r="G1717" s="38" t="str">
        <f>HYPERLINK("http://enext.ua/БМ-53+П")</f>
        <v>http://enext.ua/БМ-53+П</v>
      </c>
    </row>
    <row r="1718" spans="2:7" ht="11.25" outlineLevel="5" x14ac:dyDescent="0.2">
      <c r="B1718" s="14" t="s">
        <v>3281</v>
      </c>
      <c r="C1718" s="14" t="s">
        <v>3282</v>
      </c>
      <c r="D1718" s="14">
        <v>1</v>
      </c>
      <c r="E1718" s="17">
        <v>2148.9899999999998</v>
      </c>
      <c r="F1718" s="16" t="s">
        <v>8</v>
      </c>
      <c r="G1718" s="38" t="str">
        <f>HYPERLINK("http://enext.ua/БМ-55+П")</f>
        <v>http://enext.ua/БМ-55+П</v>
      </c>
    </row>
    <row r="1719" spans="2:7" ht="11.25" outlineLevel="5" x14ac:dyDescent="0.2">
      <c r="B1719" s="14" t="s">
        <v>3283</v>
      </c>
      <c r="C1719" s="14" t="s">
        <v>3284</v>
      </c>
      <c r="D1719" s="14">
        <v>1</v>
      </c>
      <c r="E1719" s="17">
        <v>2050.0300000000002</v>
      </c>
      <c r="F1719" s="16" t="s">
        <v>8</v>
      </c>
      <c r="G1719" s="38" t="str">
        <f>HYPERLINK("http://enext.ua/БМ-60+П")</f>
        <v>http://enext.ua/БМ-60+П</v>
      </c>
    </row>
    <row r="1720" spans="2:7" ht="11.25" outlineLevel="5" x14ac:dyDescent="0.2">
      <c r="B1720" s="14" t="s">
        <v>3285</v>
      </c>
      <c r="C1720" s="14" t="s">
        <v>3286</v>
      </c>
      <c r="D1720" s="14">
        <v>1</v>
      </c>
      <c r="E1720" s="17">
        <v>2170.21</v>
      </c>
      <c r="F1720" s="16" t="s">
        <v>8</v>
      </c>
      <c r="G1720" s="38" t="str">
        <f>HYPERLINK("http://enext.ua/БМ-62+П")</f>
        <v>http://enext.ua/БМ-62+П</v>
      </c>
    </row>
    <row r="1721" spans="2:7" ht="11.25" outlineLevel="5" x14ac:dyDescent="0.2">
      <c r="B1721" s="14" t="s">
        <v>3287</v>
      </c>
      <c r="C1721" s="14" t="s">
        <v>3288</v>
      </c>
      <c r="D1721" s="14">
        <v>1</v>
      </c>
      <c r="E1721" s="17">
        <v>2700.39</v>
      </c>
      <c r="F1721" s="16" t="s">
        <v>8</v>
      </c>
      <c r="G1721" s="38" t="str">
        <f>HYPERLINK("http://enext.ua/БМ-65+П")</f>
        <v>http://enext.ua/БМ-65+П</v>
      </c>
    </row>
    <row r="1722" spans="2:7" ht="11.25" outlineLevel="5" x14ac:dyDescent="0.2">
      <c r="B1722" s="14" t="s">
        <v>3289</v>
      </c>
      <c r="C1722" s="14" t="s">
        <v>3290</v>
      </c>
      <c r="D1722" s="14">
        <v>1</v>
      </c>
      <c r="E1722" s="17">
        <v>3838.51</v>
      </c>
      <c r="F1722" s="16" t="s">
        <v>8</v>
      </c>
      <c r="G1722" s="14"/>
    </row>
    <row r="1723" spans="2:7" ht="11.25" outlineLevel="5" x14ac:dyDescent="0.2">
      <c r="B1723" s="14" t="s">
        <v>3291</v>
      </c>
      <c r="C1723" s="14" t="s">
        <v>3292</v>
      </c>
      <c r="D1723" s="14">
        <v>1</v>
      </c>
      <c r="E1723" s="17">
        <v>3393.15</v>
      </c>
      <c r="F1723" s="16" t="s">
        <v>8</v>
      </c>
      <c r="G1723" s="38" t="str">
        <f>HYPERLINK("http://enext.ua/БМ-70+П")</f>
        <v>http://enext.ua/БМ-70+П</v>
      </c>
    </row>
    <row r="1724" spans="2:7" ht="11.25" outlineLevel="5" x14ac:dyDescent="0.2">
      <c r="B1724" s="14" t="s">
        <v>3293</v>
      </c>
      <c r="C1724" s="14" t="s">
        <v>3294</v>
      </c>
      <c r="D1724" s="14">
        <v>1</v>
      </c>
      <c r="E1724" s="17">
        <v>2933.68</v>
      </c>
      <c r="F1724" s="16" t="s">
        <v>8</v>
      </c>
      <c r="G1724" s="38" t="str">
        <f>HYPERLINK("http://enext.ua/БМ-75+П")</f>
        <v>http://enext.ua/БМ-75+П</v>
      </c>
    </row>
    <row r="1725" spans="2:7" ht="11.25" outlineLevel="5" x14ac:dyDescent="0.2">
      <c r="B1725" s="14" t="s">
        <v>3295</v>
      </c>
      <c r="C1725" s="14" t="s">
        <v>3296</v>
      </c>
      <c r="D1725" s="14">
        <v>1</v>
      </c>
      <c r="E1725" s="17">
        <v>4361.62</v>
      </c>
      <c r="F1725" s="16" t="s">
        <v>8</v>
      </c>
      <c r="G1725" s="38" t="str">
        <f>HYPERLINK("http://enext.ua/БМ-80+П")</f>
        <v>http://enext.ua/БМ-80+П</v>
      </c>
    </row>
    <row r="1726" spans="2:7" ht="11.25" outlineLevel="5" x14ac:dyDescent="0.2">
      <c r="B1726" s="14" t="s">
        <v>3297</v>
      </c>
      <c r="C1726" s="14" t="s">
        <v>3298</v>
      </c>
      <c r="D1726" s="14">
        <v>1</v>
      </c>
      <c r="E1726" s="17">
        <v>4276.8</v>
      </c>
      <c r="F1726" s="16" t="s">
        <v>8</v>
      </c>
      <c r="G1726" s="38" t="str">
        <f>HYPERLINK("http://enext.ua/БМ-86+П")</f>
        <v>http://enext.ua/БМ-86+П</v>
      </c>
    </row>
    <row r="1727" spans="2:7" ht="11.25" outlineLevel="5" x14ac:dyDescent="0.2">
      <c r="B1727" s="14" t="s">
        <v>3299</v>
      </c>
      <c r="C1727" s="14" t="s">
        <v>3300</v>
      </c>
      <c r="D1727" s="14">
        <v>1</v>
      </c>
      <c r="E1727" s="17">
        <v>6135.98</v>
      </c>
      <c r="F1727" s="16" t="s">
        <v>8</v>
      </c>
      <c r="G1727" s="38" t="str">
        <f>HYPERLINK("http://enext.ua/БМ-100+П")</f>
        <v>http://enext.ua/БМ-100+П</v>
      </c>
    </row>
    <row r="1728" spans="2:7" ht="11.25" outlineLevel="5" x14ac:dyDescent="0.2">
      <c r="B1728" s="14" t="s">
        <v>3301</v>
      </c>
      <c r="C1728" s="14" t="s">
        <v>3302</v>
      </c>
      <c r="D1728" s="14">
        <v>1</v>
      </c>
      <c r="E1728" s="17">
        <v>5181.6499999999996</v>
      </c>
      <c r="F1728" s="16" t="s">
        <v>8</v>
      </c>
      <c r="G1728" s="38" t="str">
        <f>HYPERLINK("http://enext.ua/БМ-106+П")</f>
        <v>http://enext.ua/БМ-106+П</v>
      </c>
    </row>
    <row r="1729" spans="2:7" ht="11.25" outlineLevel="5" x14ac:dyDescent="0.2">
      <c r="B1729" s="14" t="s">
        <v>3303</v>
      </c>
      <c r="C1729" s="14" t="s">
        <v>3304</v>
      </c>
      <c r="D1729" s="14">
        <v>1</v>
      </c>
      <c r="E1729" s="17">
        <v>8306.18</v>
      </c>
      <c r="F1729" s="16" t="s">
        <v>8</v>
      </c>
      <c r="G1729" s="38" t="str">
        <f>HYPERLINK("http://enext.ua/БМ-120+П")</f>
        <v>http://enext.ua/БМ-120+П</v>
      </c>
    </row>
    <row r="1730" spans="2:7" ht="11.25" outlineLevel="5" x14ac:dyDescent="0.2">
      <c r="B1730" s="14" t="s">
        <v>3305</v>
      </c>
      <c r="C1730" s="14" t="s">
        <v>3306</v>
      </c>
      <c r="D1730" s="14">
        <v>1</v>
      </c>
      <c r="E1730" s="17">
        <v>6051.14</v>
      </c>
      <c r="F1730" s="16" t="s">
        <v>8</v>
      </c>
      <c r="G1730" s="38" t="str">
        <f>HYPERLINK("http://enext.ua/БМ-126+П")</f>
        <v>http://enext.ua/БМ-126+П</v>
      </c>
    </row>
    <row r="1731" spans="2:7" ht="12" outlineLevel="4" x14ac:dyDescent="0.2">
      <c r="B1731" s="12"/>
      <c r="C1731" s="37" t="s">
        <v>3307</v>
      </c>
      <c r="D1731" s="12"/>
      <c r="E1731" s="13"/>
      <c r="F1731" s="13"/>
      <c r="G1731" s="12"/>
    </row>
    <row r="1732" spans="2:7" ht="11.25" outlineLevel="5" x14ac:dyDescent="0.2">
      <c r="B1732" s="14" t="s">
        <v>3308</v>
      </c>
      <c r="C1732" s="14" t="s">
        <v>3309</v>
      </c>
      <c r="D1732" s="14">
        <v>1</v>
      </c>
      <c r="E1732" s="15">
        <v>827.09</v>
      </c>
      <c r="F1732" s="16" t="s">
        <v>8</v>
      </c>
      <c r="G1732" s="38" t="str">
        <f>HYPERLINK("http://enext.ua/BW-2.3.2(IP31)")</f>
        <v>http://enext.ua/BW-2.3.2(IP31)</v>
      </c>
    </row>
    <row r="1733" spans="2:7" ht="22.5" outlineLevel="5" x14ac:dyDescent="0.2">
      <c r="B1733" s="14" t="s">
        <v>3310</v>
      </c>
      <c r="C1733" s="14" t="s">
        <v>3311</v>
      </c>
      <c r="D1733" s="14">
        <v>1</v>
      </c>
      <c r="E1733" s="15">
        <v>713.98</v>
      </c>
      <c r="F1733" s="16" t="s">
        <v>8</v>
      </c>
      <c r="G1733" s="38" t="str">
        <f>HYPERLINK("http://enext.ua/BW-2,5.2,5.1,5(IP31)")</f>
        <v>http://enext.ua/BW-2,5.2,5.1,5(IP31)</v>
      </c>
    </row>
    <row r="1734" spans="2:7" ht="11.25" outlineLevel="5" x14ac:dyDescent="0.2">
      <c r="B1734" s="14" t="s">
        <v>3312</v>
      </c>
      <c r="C1734" s="14" t="s">
        <v>3313</v>
      </c>
      <c r="D1734" s="14">
        <v>1</v>
      </c>
      <c r="E1734" s="15">
        <v>954.33</v>
      </c>
      <c r="F1734" s="16" t="s">
        <v>8</v>
      </c>
      <c r="G1734" s="38" t="str">
        <f>HYPERLINK("http://enext.ua/BW-3.3.1,5(IP31)")</f>
        <v>http://enext.ua/BW-3.3.1,5(IP31)</v>
      </c>
    </row>
    <row r="1735" spans="2:7" ht="11.25" outlineLevel="5" x14ac:dyDescent="0.2">
      <c r="B1735" s="14" t="s">
        <v>3314</v>
      </c>
      <c r="C1735" s="14" t="s">
        <v>3315</v>
      </c>
      <c r="D1735" s="14">
        <v>1</v>
      </c>
      <c r="E1735" s="17">
        <v>1039.1500000000001</v>
      </c>
      <c r="F1735" s="16" t="s">
        <v>8</v>
      </c>
      <c r="G1735" s="38" t="str">
        <f>HYPERLINK("http://enext.ua/BW-3.3.2(IP31)")</f>
        <v>http://enext.ua/BW-3.3.2(IP31)</v>
      </c>
    </row>
    <row r="1736" spans="2:7" ht="11.25" outlineLevel="5" x14ac:dyDescent="0.2">
      <c r="B1736" s="14" t="s">
        <v>3316</v>
      </c>
      <c r="C1736" s="14" t="s">
        <v>3317</v>
      </c>
      <c r="D1736" s="14">
        <v>1</v>
      </c>
      <c r="E1736" s="17">
        <v>1230.02</v>
      </c>
      <c r="F1736" s="16" t="s">
        <v>8</v>
      </c>
      <c r="G1736" s="38" t="str">
        <f>HYPERLINK("http://enext.ua/BW-3.4.1,5(IP31)")</f>
        <v>http://enext.ua/BW-3.4.1,5(IP31)</v>
      </c>
    </row>
    <row r="1737" spans="2:7" ht="11.25" outlineLevel="5" x14ac:dyDescent="0.2">
      <c r="B1737" s="14" t="s">
        <v>3318</v>
      </c>
      <c r="C1737" s="14" t="s">
        <v>3319</v>
      </c>
      <c r="D1737" s="14">
        <v>1</v>
      </c>
      <c r="E1737" s="17">
        <v>1307.78</v>
      </c>
      <c r="F1737" s="16" t="s">
        <v>8</v>
      </c>
      <c r="G1737" s="38" t="str">
        <f>HYPERLINK("http://enext.ua/BW-3.4.2(IP31)")</f>
        <v>http://enext.ua/BW-3.4.2(IP31)</v>
      </c>
    </row>
    <row r="1738" spans="2:7" ht="11.25" outlineLevel="5" x14ac:dyDescent="0.2">
      <c r="B1738" s="14" t="s">
        <v>3320</v>
      </c>
      <c r="C1738" s="14" t="s">
        <v>3321</v>
      </c>
      <c r="D1738" s="14">
        <v>1</v>
      </c>
      <c r="E1738" s="17">
        <v>1427.95</v>
      </c>
      <c r="F1738" s="16" t="s">
        <v>8</v>
      </c>
      <c r="G1738" s="38" t="str">
        <f>HYPERLINK("http://enext.ua/BW-3.4.2,5(IP31)")</f>
        <v>http://enext.ua/BW-3.4.2,5(IP31)</v>
      </c>
    </row>
    <row r="1739" spans="2:7" ht="11.25" outlineLevel="5" x14ac:dyDescent="0.2">
      <c r="B1739" s="14" t="s">
        <v>3322</v>
      </c>
      <c r="C1739" s="14" t="s">
        <v>3323</v>
      </c>
      <c r="D1739" s="14">
        <v>1</v>
      </c>
      <c r="E1739" s="17">
        <v>1562.26</v>
      </c>
      <c r="F1739" s="16" t="s">
        <v>8</v>
      </c>
      <c r="G1739" s="38" t="str">
        <f>HYPERLINK("http://enext.ua/BW-3.5.2(IP31)")</f>
        <v>http://enext.ua/BW-3.5.2(IP31)</v>
      </c>
    </row>
    <row r="1740" spans="2:7" ht="11.25" outlineLevel="5" x14ac:dyDescent="0.2">
      <c r="B1740" s="14" t="s">
        <v>3324</v>
      </c>
      <c r="C1740" s="14" t="s">
        <v>3325</v>
      </c>
      <c r="D1740" s="14">
        <v>1</v>
      </c>
      <c r="E1740" s="17">
        <v>1724.86</v>
      </c>
      <c r="F1740" s="16" t="s">
        <v>8</v>
      </c>
      <c r="G1740" s="38" t="str">
        <f>HYPERLINK("http://enext.ua/BW-3.5.2,5(IP31)")</f>
        <v>http://enext.ua/BW-3.5.2,5(IP31)</v>
      </c>
    </row>
    <row r="1741" spans="2:7" ht="11.25" outlineLevel="5" x14ac:dyDescent="0.2">
      <c r="B1741" s="14" t="s">
        <v>3326</v>
      </c>
      <c r="C1741" s="14" t="s">
        <v>3327</v>
      </c>
      <c r="D1741" s="14">
        <v>1</v>
      </c>
      <c r="E1741" s="17">
        <v>1654.17</v>
      </c>
      <c r="F1741" s="16" t="s">
        <v>8</v>
      </c>
      <c r="G1741" s="38" t="str">
        <f>HYPERLINK("http://enext.ua/BW-4.4.2(IP31)")</f>
        <v>http://enext.ua/BW-4.4.2(IP31)</v>
      </c>
    </row>
    <row r="1742" spans="2:7" ht="11.25" outlineLevel="5" x14ac:dyDescent="0.2">
      <c r="B1742" s="14" t="s">
        <v>3328</v>
      </c>
      <c r="C1742" s="14" t="s">
        <v>3329</v>
      </c>
      <c r="D1742" s="14">
        <v>1</v>
      </c>
      <c r="E1742" s="17">
        <v>1859.17</v>
      </c>
      <c r="F1742" s="16" t="s">
        <v>8</v>
      </c>
      <c r="G1742" s="38" t="str">
        <f>HYPERLINK("http://enext.ua/BW-4.5.2(IP31)")</f>
        <v>http://enext.ua/BW-4.5.2(IP31)</v>
      </c>
    </row>
    <row r="1743" spans="2:7" ht="11.25" outlineLevel="5" x14ac:dyDescent="0.2">
      <c r="B1743" s="14" t="s">
        <v>3330</v>
      </c>
      <c r="C1743" s="14" t="s">
        <v>3331</v>
      </c>
      <c r="D1743" s="14">
        <v>1</v>
      </c>
      <c r="E1743" s="17">
        <v>2163.14</v>
      </c>
      <c r="F1743" s="16" t="s">
        <v>8</v>
      </c>
      <c r="G1743" s="38" t="str">
        <f>HYPERLINK("http://enext.ua/BW-4.5.2,5(IP31)")</f>
        <v>http://enext.ua/BW-4.5.2,5(IP31)</v>
      </c>
    </row>
    <row r="1744" spans="2:7" ht="11.25" outlineLevel="5" x14ac:dyDescent="0.2">
      <c r="B1744" s="14" t="s">
        <v>3332</v>
      </c>
      <c r="C1744" s="14" t="s">
        <v>3333</v>
      </c>
      <c r="D1744" s="14">
        <v>1</v>
      </c>
      <c r="E1744" s="17">
        <v>2148.9899999999998</v>
      </c>
      <c r="F1744" s="16" t="s">
        <v>8</v>
      </c>
      <c r="G1744" s="38" t="str">
        <f>HYPERLINK("http://enext.ua/BW-4.6.2(IP31)")</f>
        <v>http://enext.ua/BW-4.6.2(IP31)</v>
      </c>
    </row>
    <row r="1745" spans="2:7" ht="11.25" outlineLevel="5" x14ac:dyDescent="0.2">
      <c r="B1745" s="14" t="s">
        <v>3334</v>
      </c>
      <c r="C1745" s="14" t="s">
        <v>3335</v>
      </c>
      <c r="D1745" s="14">
        <v>1</v>
      </c>
      <c r="E1745" s="17">
        <v>2354.0100000000002</v>
      </c>
      <c r="F1745" s="16" t="s">
        <v>8</v>
      </c>
      <c r="G1745" s="38" t="str">
        <f>HYPERLINK("http://enext.ua/BW-4.6.2,5(IP31)")</f>
        <v>http://enext.ua/BW-4.6.2,5(IP31)</v>
      </c>
    </row>
    <row r="1746" spans="2:7" ht="11.25" outlineLevel="5" x14ac:dyDescent="0.2">
      <c r="B1746" s="14" t="s">
        <v>3336</v>
      </c>
      <c r="C1746" s="14" t="s">
        <v>3337</v>
      </c>
      <c r="D1746" s="14">
        <v>1</v>
      </c>
      <c r="E1746" s="17">
        <v>2488.3200000000002</v>
      </c>
      <c r="F1746" s="16" t="s">
        <v>8</v>
      </c>
      <c r="G1746" s="38" t="str">
        <f>HYPERLINK("http://enext.ua/BW-4.6.3(IP31)")</f>
        <v>http://enext.ua/BW-4.6.3(IP31)</v>
      </c>
    </row>
    <row r="1747" spans="2:7" ht="11.25" outlineLevel="5" x14ac:dyDescent="0.2">
      <c r="B1747" s="14" t="s">
        <v>3338</v>
      </c>
      <c r="C1747" s="14" t="s">
        <v>3339</v>
      </c>
      <c r="D1747" s="14">
        <v>1</v>
      </c>
      <c r="E1747" s="17">
        <v>2969.03</v>
      </c>
      <c r="F1747" s="16" t="s">
        <v>8</v>
      </c>
      <c r="G1747" s="38" t="str">
        <f>HYPERLINK("http://enext.ua/BW-4.8.2(IP31)")</f>
        <v>http://enext.ua/BW-4.8.2(IP31)</v>
      </c>
    </row>
    <row r="1748" spans="2:7" ht="11.25" outlineLevel="5" x14ac:dyDescent="0.2">
      <c r="B1748" s="14" t="s">
        <v>3340</v>
      </c>
      <c r="C1748" s="14" t="s">
        <v>3341</v>
      </c>
      <c r="D1748" s="14">
        <v>1</v>
      </c>
      <c r="E1748" s="17">
        <v>2615.5700000000002</v>
      </c>
      <c r="F1748" s="16" t="s">
        <v>8</v>
      </c>
      <c r="G1748" s="38" t="str">
        <f>HYPERLINK("http://enext.ua/BW-5.6.2(IP31)")</f>
        <v>http://enext.ua/BW-5.6.2(IP31)</v>
      </c>
    </row>
    <row r="1749" spans="2:7" ht="11.25" outlineLevel="5" x14ac:dyDescent="0.2">
      <c r="B1749" s="14" t="s">
        <v>3342</v>
      </c>
      <c r="C1749" s="14" t="s">
        <v>3343</v>
      </c>
      <c r="D1749" s="14">
        <v>1</v>
      </c>
      <c r="E1749" s="17">
        <v>2841.77</v>
      </c>
      <c r="F1749" s="16" t="s">
        <v>8</v>
      </c>
      <c r="G1749" s="38" t="str">
        <f>HYPERLINK("http://enext.ua/BW-5.6.2,5(IP31)")</f>
        <v>http://enext.ua/BW-5.6.2,5(IP31)</v>
      </c>
    </row>
    <row r="1750" spans="2:7" ht="11.25" outlineLevel="5" x14ac:dyDescent="0.2">
      <c r="B1750" s="14" t="s">
        <v>3344</v>
      </c>
      <c r="C1750" s="14" t="s">
        <v>3345</v>
      </c>
      <c r="D1750" s="14">
        <v>1</v>
      </c>
      <c r="E1750" s="17">
        <v>2983.17</v>
      </c>
      <c r="F1750" s="16" t="s">
        <v>8</v>
      </c>
      <c r="G1750" s="38" t="str">
        <f>HYPERLINK("http://enext.ua/BW-5.7.2(IP31)")</f>
        <v>http://enext.ua/BW-5.7.2(IP31)</v>
      </c>
    </row>
    <row r="1751" spans="2:7" ht="11.25" outlineLevel="5" x14ac:dyDescent="0.2">
      <c r="B1751" s="14" t="s">
        <v>3346</v>
      </c>
      <c r="C1751" s="14" t="s">
        <v>3347</v>
      </c>
      <c r="D1751" s="14">
        <v>1</v>
      </c>
      <c r="E1751" s="17">
        <v>3202.3</v>
      </c>
      <c r="F1751" s="16" t="s">
        <v>8</v>
      </c>
      <c r="G1751" s="38" t="str">
        <f>HYPERLINK("http://enext.ua/BW-5.7.2,5(IP31)")</f>
        <v>http://enext.ua/BW-5.7.2,5(IP31)</v>
      </c>
    </row>
    <row r="1752" spans="2:7" ht="11.25" outlineLevel="5" x14ac:dyDescent="0.2">
      <c r="B1752" s="14" t="s">
        <v>3348</v>
      </c>
      <c r="C1752" s="14" t="s">
        <v>3349</v>
      </c>
      <c r="D1752" s="14">
        <v>1</v>
      </c>
      <c r="E1752" s="17">
        <v>5761.3</v>
      </c>
      <c r="F1752" s="16" t="s">
        <v>8</v>
      </c>
      <c r="G1752" s="38" t="str">
        <f>HYPERLINK("http://enext.ua/BW-6.10.3(IP31)")</f>
        <v>http://enext.ua/BW-6.10.3(IP31)</v>
      </c>
    </row>
    <row r="1753" spans="2:7" ht="11.25" outlineLevel="5" x14ac:dyDescent="0.2">
      <c r="B1753" s="14" t="s">
        <v>3350</v>
      </c>
      <c r="C1753" s="14" t="s">
        <v>3351</v>
      </c>
      <c r="D1753" s="14">
        <v>1</v>
      </c>
      <c r="E1753" s="17">
        <v>6779.26</v>
      </c>
      <c r="F1753" s="16" t="s">
        <v>8</v>
      </c>
      <c r="G1753" s="38" t="str">
        <f>HYPERLINK("http://enext.ua/BW-6.12.3(IP31)")</f>
        <v>http://enext.ua/BW-6.12.3(IP31)</v>
      </c>
    </row>
    <row r="1754" spans="2:7" ht="11.25" outlineLevel="5" x14ac:dyDescent="0.2">
      <c r="B1754" s="14" t="s">
        <v>3352</v>
      </c>
      <c r="C1754" s="14" t="s">
        <v>3353</v>
      </c>
      <c r="D1754" s="14">
        <v>1</v>
      </c>
      <c r="E1754" s="17">
        <v>7479.11</v>
      </c>
      <c r="F1754" s="16" t="s">
        <v>8</v>
      </c>
      <c r="G1754" s="38" t="str">
        <f>HYPERLINK("http://enext.ua/BW-6.12.4(IP31)")</f>
        <v>http://enext.ua/BW-6.12.4(IP31)</v>
      </c>
    </row>
    <row r="1755" spans="2:7" ht="11.25" outlineLevel="5" x14ac:dyDescent="0.2">
      <c r="B1755" s="14" t="s">
        <v>3354</v>
      </c>
      <c r="C1755" s="14" t="s">
        <v>3355</v>
      </c>
      <c r="D1755" s="14">
        <v>1</v>
      </c>
      <c r="E1755" s="17">
        <v>3096.26</v>
      </c>
      <c r="F1755" s="16" t="s">
        <v>8</v>
      </c>
      <c r="G1755" s="38" t="str">
        <f>HYPERLINK("http://enext.ua/BW-6.6.2(IP31)")</f>
        <v>http://enext.ua/BW-6.6.2(IP31)</v>
      </c>
    </row>
    <row r="1756" spans="2:7" ht="11.25" outlineLevel="5" x14ac:dyDescent="0.2">
      <c r="B1756" s="14" t="s">
        <v>3356</v>
      </c>
      <c r="C1756" s="14" t="s">
        <v>3357</v>
      </c>
      <c r="D1756" s="14">
        <v>1</v>
      </c>
      <c r="E1756" s="17">
        <v>3449.71</v>
      </c>
      <c r="F1756" s="16" t="s">
        <v>8</v>
      </c>
      <c r="G1756" s="38" t="str">
        <f>HYPERLINK("http://enext.ua/BW-6.6.3(IP31)")</f>
        <v>http://enext.ua/BW-6.6.3(IP31)</v>
      </c>
    </row>
    <row r="1757" spans="2:7" ht="11.25" outlineLevel="5" x14ac:dyDescent="0.2">
      <c r="B1757" s="14" t="s">
        <v>3358</v>
      </c>
      <c r="C1757" s="14" t="s">
        <v>3359</v>
      </c>
      <c r="D1757" s="14">
        <v>1</v>
      </c>
      <c r="E1757" s="17">
        <v>4262.66</v>
      </c>
      <c r="F1757" s="16" t="s">
        <v>8</v>
      </c>
      <c r="G1757" s="38" t="str">
        <f>HYPERLINK("http://enext.ua/BW-6.7.3(IP31)")</f>
        <v>http://enext.ua/BW-6.7.3(IP31)</v>
      </c>
    </row>
    <row r="1758" spans="2:7" ht="11.25" outlineLevel="5" x14ac:dyDescent="0.2">
      <c r="B1758" s="14" t="s">
        <v>3360</v>
      </c>
      <c r="C1758" s="14" t="s">
        <v>3361</v>
      </c>
      <c r="D1758" s="14">
        <v>1</v>
      </c>
      <c r="E1758" s="17">
        <v>4213.18</v>
      </c>
      <c r="F1758" s="16" t="s">
        <v>8</v>
      </c>
      <c r="G1758" s="38" t="str">
        <f>HYPERLINK("http://enext.ua/BW-6.8.2(IP31)")</f>
        <v>http://enext.ua/BW-6.8.2(IP31)</v>
      </c>
    </row>
    <row r="1759" spans="2:7" ht="11.25" outlineLevel="5" x14ac:dyDescent="0.2">
      <c r="B1759" s="14" t="s">
        <v>3362</v>
      </c>
      <c r="C1759" s="14" t="s">
        <v>3363</v>
      </c>
      <c r="D1759" s="14">
        <v>1</v>
      </c>
      <c r="E1759" s="17">
        <v>4503.0200000000004</v>
      </c>
      <c r="F1759" s="16" t="s">
        <v>8</v>
      </c>
      <c r="G1759" s="38" t="str">
        <f>HYPERLINK("http://enext.ua/BW-6.8.2,5(IP31)")</f>
        <v>http://enext.ua/BW-6.8.2,5(IP31)</v>
      </c>
    </row>
    <row r="1760" spans="2:7" ht="11.25" outlineLevel="5" x14ac:dyDescent="0.2">
      <c r="B1760" s="14" t="s">
        <v>3364</v>
      </c>
      <c r="C1760" s="14" t="s">
        <v>3365</v>
      </c>
      <c r="D1760" s="14">
        <v>1</v>
      </c>
      <c r="E1760" s="17">
        <v>4771.63</v>
      </c>
      <c r="F1760" s="16" t="s">
        <v>8</v>
      </c>
      <c r="G1760" s="38" t="str">
        <f>HYPERLINK("http://enext.ua/BW-6.8.3(IP31)")</f>
        <v>http://enext.ua/BW-6.8.3(IP31)</v>
      </c>
    </row>
    <row r="1761" spans="2:7" ht="11.25" outlineLevel="5" x14ac:dyDescent="0.2">
      <c r="B1761" s="14" t="s">
        <v>3366</v>
      </c>
      <c r="C1761" s="14" t="s">
        <v>3367</v>
      </c>
      <c r="D1761" s="14">
        <v>1</v>
      </c>
      <c r="E1761" s="17">
        <v>6906.49</v>
      </c>
      <c r="F1761" s="16" t="s">
        <v>8</v>
      </c>
      <c r="G1761" s="38" t="str">
        <f>HYPERLINK("http://enext.ua/BW-7.10.3,5(IP31)")</f>
        <v>http://enext.ua/BW-7.10.3,5(IP31)</v>
      </c>
    </row>
    <row r="1762" spans="2:7" ht="11.25" outlineLevel="5" x14ac:dyDescent="0.2">
      <c r="B1762" s="14" t="s">
        <v>3368</v>
      </c>
      <c r="C1762" s="14" t="s">
        <v>3369</v>
      </c>
      <c r="D1762" s="14">
        <v>1</v>
      </c>
      <c r="E1762" s="17">
        <v>5662.34</v>
      </c>
      <c r="F1762" s="16" t="s">
        <v>8</v>
      </c>
      <c r="G1762" s="38" t="str">
        <f>HYPERLINK("http://enext.ua/BW-8.8.3(IP31)")</f>
        <v>http://enext.ua/BW-8.8.3(IP31)</v>
      </c>
    </row>
    <row r="1763" spans="2:7" ht="11.25" outlineLevel="5" x14ac:dyDescent="0.2">
      <c r="B1763" s="14" t="s">
        <v>3370</v>
      </c>
      <c r="C1763" s="14" t="s">
        <v>3371</v>
      </c>
      <c r="D1763" s="14">
        <v>1</v>
      </c>
      <c r="E1763" s="17">
        <v>7365.99</v>
      </c>
      <c r="F1763" s="16" t="s">
        <v>8</v>
      </c>
      <c r="G1763" s="38" t="str">
        <f>HYPERLINK("http://enext.ua/BW-8.10.3(IP31)")</f>
        <v>http://enext.ua/BW-8.10.3(IP31)</v>
      </c>
    </row>
    <row r="1764" spans="2:7" ht="11.25" outlineLevel="5" x14ac:dyDescent="0.2">
      <c r="B1764" s="14" t="s">
        <v>3372</v>
      </c>
      <c r="C1764" s="14" t="s">
        <v>3373</v>
      </c>
      <c r="D1764" s="14">
        <v>1</v>
      </c>
      <c r="E1764" s="17">
        <v>8256.7000000000007</v>
      </c>
      <c r="F1764" s="16" t="s">
        <v>8</v>
      </c>
      <c r="G1764" s="38" t="str">
        <f>HYPERLINK("http://enext.ua/BW-8.12.2,5(IP31)")</f>
        <v>http://enext.ua/BW-8.12.2,5(IP31)</v>
      </c>
    </row>
    <row r="1765" spans="2:7" ht="11.25" outlineLevel="5" x14ac:dyDescent="0.2">
      <c r="B1765" s="14" t="s">
        <v>3374</v>
      </c>
      <c r="C1765" s="14" t="s">
        <v>3375</v>
      </c>
      <c r="D1765" s="14">
        <v>1</v>
      </c>
      <c r="E1765" s="17">
        <v>8645.51</v>
      </c>
      <c r="F1765" s="16" t="s">
        <v>8</v>
      </c>
      <c r="G1765" s="38" t="str">
        <f>HYPERLINK("http://enext.ua/BW-8.12.3(IP31)")</f>
        <v>http://enext.ua/BW-8.12.3(IP31)</v>
      </c>
    </row>
    <row r="1766" spans="2:7" ht="11.25" outlineLevel="5" x14ac:dyDescent="0.2">
      <c r="B1766" s="14" t="s">
        <v>3376</v>
      </c>
      <c r="C1766" s="14" t="s">
        <v>3377</v>
      </c>
      <c r="D1766" s="14">
        <v>1</v>
      </c>
      <c r="E1766" s="17">
        <v>9430.17</v>
      </c>
      <c r="F1766" s="16" t="s">
        <v>8</v>
      </c>
      <c r="G1766" s="38" t="str">
        <f>HYPERLINK("http://enext.ua/BW-8.12.4(IP31)")</f>
        <v>http://enext.ua/BW-8.12.4(IP31)</v>
      </c>
    </row>
    <row r="1767" spans="2:7" ht="12" outlineLevel="4" x14ac:dyDescent="0.2">
      <c r="B1767" s="12"/>
      <c r="C1767" s="37" t="s">
        <v>3378</v>
      </c>
      <c r="D1767" s="12"/>
      <c r="E1767" s="13"/>
      <c r="F1767" s="13"/>
      <c r="G1767" s="12"/>
    </row>
    <row r="1768" spans="2:7" ht="11.25" outlineLevel="5" x14ac:dyDescent="0.2">
      <c r="B1768" s="14" t="s">
        <v>3379</v>
      </c>
      <c r="C1768" s="14" t="s">
        <v>3380</v>
      </c>
      <c r="D1768" s="14">
        <v>1</v>
      </c>
      <c r="E1768" s="15">
        <v>904.85</v>
      </c>
      <c r="F1768" s="16" t="s">
        <v>8</v>
      </c>
      <c r="G1768" s="38" t="str">
        <f>HYPERLINK("http://enext.ua/BW-2.3.2")</f>
        <v>http://enext.ua/BW-2.3.2</v>
      </c>
    </row>
    <row r="1769" spans="2:7" ht="11.25" outlineLevel="5" x14ac:dyDescent="0.2">
      <c r="B1769" s="14" t="s">
        <v>3381</v>
      </c>
      <c r="C1769" s="14" t="s">
        <v>3382</v>
      </c>
      <c r="D1769" s="14">
        <v>1</v>
      </c>
      <c r="E1769" s="15">
        <v>827.09</v>
      </c>
      <c r="F1769" s="16" t="s">
        <v>8</v>
      </c>
      <c r="G1769" s="38" t="str">
        <f>HYPERLINK("http://enext.ua/BW-2,5.2,5.1,5")</f>
        <v>http://enext.ua/BW-2,5.2,5.1,5</v>
      </c>
    </row>
    <row r="1770" spans="2:7" ht="11.25" outlineLevel="5" x14ac:dyDescent="0.2">
      <c r="B1770" s="14" t="s">
        <v>3383</v>
      </c>
      <c r="C1770" s="14" t="s">
        <v>3384</v>
      </c>
      <c r="D1770" s="14">
        <v>1</v>
      </c>
      <c r="E1770" s="17">
        <v>1074.49</v>
      </c>
      <c r="F1770" s="16" t="s">
        <v>8</v>
      </c>
      <c r="G1770" s="38" t="str">
        <f>HYPERLINK("http://enext.ua/BW-3.3.1,5")</f>
        <v>http://enext.ua/BW-3.3.1,5</v>
      </c>
    </row>
    <row r="1771" spans="2:7" ht="11.25" outlineLevel="5" x14ac:dyDescent="0.2">
      <c r="B1771" s="14" t="s">
        <v>3385</v>
      </c>
      <c r="C1771" s="14" t="s">
        <v>3386</v>
      </c>
      <c r="D1771" s="14">
        <v>1</v>
      </c>
      <c r="E1771" s="17">
        <v>1215.8900000000001</v>
      </c>
      <c r="F1771" s="16" t="s">
        <v>8</v>
      </c>
      <c r="G1771" s="38" t="str">
        <f>HYPERLINK("http://enext.ua/BW-3.3.2")</f>
        <v>http://enext.ua/BW-3.3.2</v>
      </c>
    </row>
    <row r="1772" spans="2:7" ht="11.25" outlineLevel="5" x14ac:dyDescent="0.2">
      <c r="B1772" s="14" t="s">
        <v>3387</v>
      </c>
      <c r="C1772" s="14" t="s">
        <v>3388</v>
      </c>
      <c r="D1772" s="14">
        <v>1</v>
      </c>
      <c r="E1772" s="17">
        <v>1343.13</v>
      </c>
      <c r="F1772" s="16" t="s">
        <v>8</v>
      </c>
      <c r="G1772" s="38" t="str">
        <f>HYPERLINK("http://enext.ua/BW-3.4.1,5")</f>
        <v>http://enext.ua/BW-3.4.1,5</v>
      </c>
    </row>
    <row r="1773" spans="2:7" ht="11.25" outlineLevel="5" x14ac:dyDescent="0.2">
      <c r="B1773" s="14" t="s">
        <v>3389</v>
      </c>
      <c r="C1773" s="14" t="s">
        <v>3390</v>
      </c>
      <c r="D1773" s="14">
        <v>1</v>
      </c>
      <c r="E1773" s="17">
        <v>1526.93</v>
      </c>
      <c r="F1773" s="16" t="s">
        <v>8</v>
      </c>
      <c r="G1773" s="38" t="str">
        <f>HYPERLINK("http://enext.ua/BW-3.4.2")</f>
        <v>http://enext.ua/BW-3.4.2</v>
      </c>
    </row>
    <row r="1774" spans="2:7" ht="11.25" outlineLevel="5" x14ac:dyDescent="0.2">
      <c r="B1774" s="14" t="s">
        <v>3391</v>
      </c>
      <c r="C1774" s="14" t="s">
        <v>3392</v>
      </c>
      <c r="D1774" s="14">
        <v>1</v>
      </c>
      <c r="E1774" s="17">
        <v>1675.37</v>
      </c>
      <c r="F1774" s="16" t="s">
        <v>8</v>
      </c>
      <c r="G1774" s="38" t="str">
        <f>HYPERLINK("http://enext.ua/BW-3.4.2,5")</f>
        <v>http://enext.ua/BW-3.4.2,5</v>
      </c>
    </row>
    <row r="1775" spans="2:7" ht="11.25" outlineLevel="5" x14ac:dyDescent="0.2">
      <c r="B1775" s="14" t="s">
        <v>3393</v>
      </c>
      <c r="C1775" s="14" t="s">
        <v>3394</v>
      </c>
      <c r="D1775" s="14">
        <v>1</v>
      </c>
      <c r="E1775" s="17">
        <v>1816.77</v>
      </c>
      <c r="F1775" s="16" t="s">
        <v>8</v>
      </c>
      <c r="G1775" s="38" t="str">
        <f>HYPERLINK("http://enext.ua/BW-3.5.2")</f>
        <v>http://enext.ua/BW-3.5.2</v>
      </c>
    </row>
    <row r="1776" spans="2:7" ht="11.25" outlineLevel="5" x14ac:dyDescent="0.2">
      <c r="B1776" s="14" t="s">
        <v>3395</v>
      </c>
      <c r="C1776" s="14" t="s">
        <v>3396</v>
      </c>
      <c r="D1776" s="14">
        <v>1</v>
      </c>
      <c r="E1776" s="17">
        <v>1993.49</v>
      </c>
      <c r="F1776" s="16" t="s">
        <v>8</v>
      </c>
      <c r="G1776" s="38" t="str">
        <f>HYPERLINK("http://enext.ua/BW-3.5.2,5")</f>
        <v>http://enext.ua/BW-3.5.2,5</v>
      </c>
    </row>
    <row r="1777" spans="2:7" ht="11.25" outlineLevel="5" x14ac:dyDescent="0.2">
      <c r="B1777" s="14" t="s">
        <v>3397</v>
      </c>
      <c r="C1777" s="14" t="s">
        <v>3398</v>
      </c>
      <c r="D1777" s="14">
        <v>1</v>
      </c>
      <c r="E1777" s="17">
        <v>1908.65</v>
      </c>
      <c r="F1777" s="16" t="s">
        <v>8</v>
      </c>
      <c r="G1777" s="38" t="str">
        <f>HYPERLINK("http://enext.ua/BW-4.4.2")</f>
        <v>http://enext.ua/BW-4.4.2</v>
      </c>
    </row>
    <row r="1778" spans="2:7" ht="11.25" outlineLevel="5" x14ac:dyDescent="0.2">
      <c r="B1778" s="14" t="s">
        <v>3399</v>
      </c>
      <c r="C1778" s="14" t="s">
        <v>3400</v>
      </c>
      <c r="D1778" s="14">
        <v>1</v>
      </c>
      <c r="E1778" s="17">
        <v>2156.0700000000002</v>
      </c>
      <c r="F1778" s="16" t="s">
        <v>8</v>
      </c>
      <c r="G1778" s="38" t="str">
        <f>HYPERLINK("http://enext.ua/BW-4.5.2")</f>
        <v>http://enext.ua/BW-4.5.2</v>
      </c>
    </row>
    <row r="1779" spans="2:7" ht="11.25" outlineLevel="5" x14ac:dyDescent="0.2">
      <c r="B1779" s="14" t="s">
        <v>3401</v>
      </c>
      <c r="C1779" s="14" t="s">
        <v>3402</v>
      </c>
      <c r="D1779" s="14">
        <v>1</v>
      </c>
      <c r="E1779" s="17">
        <v>2354.0100000000002</v>
      </c>
      <c r="F1779" s="16" t="s">
        <v>8</v>
      </c>
      <c r="G1779" s="38" t="str">
        <f>HYPERLINK("http://enext.ua/BW-4.5.2,5")</f>
        <v>http://enext.ua/BW-4.5.2,5</v>
      </c>
    </row>
    <row r="1780" spans="2:7" ht="11.25" outlineLevel="5" x14ac:dyDescent="0.2">
      <c r="B1780" s="14" t="s">
        <v>3403</v>
      </c>
      <c r="C1780" s="14" t="s">
        <v>3404</v>
      </c>
      <c r="D1780" s="14">
        <v>1</v>
      </c>
      <c r="E1780" s="17">
        <v>2516.61</v>
      </c>
      <c r="F1780" s="16" t="s">
        <v>8</v>
      </c>
      <c r="G1780" s="38" t="str">
        <f>HYPERLINK("http://enext.ua/BW-4.6.2")</f>
        <v>http://enext.ua/BW-4.6.2</v>
      </c>
    </row>
    <row r="1781" spans="2:7" ht="11.25" outlineLevel="5" x14ac:dyDescent="0.2">
      <c r="B1781" s="14" t="s">
        <v>3405</v>
      </c>
      <c r="C1781" s="14" t="s">
        <v>3406</v>
      </c>
      <c r="D1781" s="14">
        <v>1</v>
      </c>
      <c r="E1781" s="17">
        <v>2728.66</v>
      </c>
      <c r="F1781" s="16" t="s">
        <v>8</v>
      </c>
      <c r="G1781" s="38" t="str">
        <f>HYPERLINK("http://enext.ua/BW-4.6.2,5")</f>
        <v>http://enext.ua/BW-4.6.2,5</v>
      </c>
    </row>
    <row r="1782" spans="2:7" ht="11.25" outlineLevel="5" x14ac:dyDescent="0.2">
      <c r="B1782" s="14" t="s">
        <v>3407</v>
      </c>
      <c r="C1782" s="14" t="s">
        <v>3408</v>
      </c>
      <c r="D1782" s="14">
        <v>1</v>
      </c>
      <c r="E1782" s="17">
        <v>2940.73</v>
      </c>
      <c r="F1782" s="16" t="s">
        <v>8</v>
      </c>
      <c r="G1782" s="38" t="str">
        <f>HYPERLINK("http://enext.ua/BW-4.6.3")</f>
        <v>http://enext.ua/BW-4.6.3</v>
      </c>
    </row>
    <row r="1783" spans="2:7" ht="11.25" outlineLevel="5" x14ac:dyDescent="0.2">
      <c r="B1783" s="14" t="s">
        <v>3409</v>
      </c>
      <c r="C1783" s="14" t="s">
        <v>3410</v>
      </c>
      <c r="D1783" s="14">
        <v>1</v>
      </c>
      <c r="E1783" s="17">
        <v>3230.57</v>
      </c>
      <c r="F1783" s="16" t="s">
        <v>8</v>
      </c>
      <c r="G1783" s="38" t="str">
        <f>HYPERLINK("http://enext.ua/BW-4.8.2")</f>
        <v>http://enext.ua/BW-4.8.2</v>
      </c>
    </row>
    <row r="1784" spans="2:7" ht="11.25" outlineLevel="5" x14ac:dyDescent="0.2">
      <c r="B1784" s="14" t="s">
        <v>3411</v>
      </c>
      <c r="C1784" s="14" t="s">
        <v>3412</v>
      </c>
      <c r="D1784" s="14">
        <v>1</v>
      </c>
      <c r="E1784" s="17">
        <v>2608.4899999999998</v>
      </c>
      <c r="F1784" s="16" t="s">
        <v>8</v>
      </c>
      <c r="G1784" s="14"/>
    </row>
    <row r="1785" spans="2:7" ht="11.25" outlineLevel="5" x14ac:dyDescent="0.2">
      <c r="B1785" s="14" t="s">
        <v>3413</v>
      </c>
      <c r="C1785" s="14" t="s">
        <v>3414</v>
      </c>
      <c r="D1785" s="14">
        <v>1</v>
      </c>
      <c r="E1785" s="17">
        <v>3032.64</v>
      </c>
      <c r="F1785" s="16" t="s">
        <v>8</v>
      </c>
      <c r="G1785" s="38" t="str">
        <f>HYPERLINK("http://enext.ua/BW-5.6.2")</f>
        <v>http://enext.ua/BW-5.6.2</v>
      </c>
    </row>
    <row r="1786" spans="2:7" ht="11.25" outlineLevel="5" x14ac:dyDescent="0.2">
      <c r="B1786" s="14" t="s">
        <v>3415</v>
      </c>
      <c r="C1786" s="14" t="s">
        <v>3416</v>
      </c>
      <c r="D1786" s="14">
        <v>1</v>
      </c>
      <c r="E1786" s="17">
        <v>3272.99</v>
      </c>
      <c r="F1786" s="16" t="s">
        <v>8</v>
      </c>
      <c r="G1786" s="38" t="str">
        <f>HYPERLINK("http://enext.ua/BW-5.6.2,5")</f>
        <v>http://enext.ua/BW-5.6.2,5</v>
      </c>
    </row>
    <row r="1787" spans="2:7" ht="11.25" outlineLevel="5" x14ac:dyDescent="0.2">
      <c r="B1787" s="14" t="s">
        <v>3417</v>
      </c>
      <c r="C1787" s="14" t="s">
        <v>3418</v>
      </c>
      <c r="D1787" s="14">
        <v>1</v>
      </c>
      <c r="E1787" s="17">
        <v>3463.85</v>
      </c>
      <c r="F1787" s="16" t="s">
        <v>8</v>
      </c>
      <c r="G1787" s="38" t="str">
        <f>HYPERLINK("http://enext.ua/BW-5.7.2")</f>
        <v>http://enext.ua/BW-5.7.2</v>
      </c>
    </row>
    <row r="1788" spans="2:7" ht="11.25" outlineLevel="5" x14ac:dyDescent="0.2">
      <c r="B1788" s="14" t="s">
        <v>3419</v>
      </c>
      <c r="C1788" s="14" t="s">
        <v>3420</v>
      </c>
      <c r="D1788" s="14">
        <v>1</v>
      </c>
      <c r="E1788" s="17">
        <v>3732.48</v>
      </c>
      <c r="F1788" s="16" t="s">
        <v>8</v>
      </c>
      <c r="G1788" s="38" t="str">
        <f>HYPERLINK("http://enext.ua/BW-5.7.2,5")</f>
        <v>http://enext.ua/BW-5.7.2,5</v>
      </c>
    </row>
    <row r="1789" spans="2:7" ht="11.25" outlineLevel="5" x14ac:dyDescent="0.2">
      <c r="B1789" s="14" t="s">
        <v>3421</v>
      </c>
      <c r="C1789" s="14" t="s">
        <v>3422</v>
      </c>
      <c r="D1789" s="14">
        <v>1</v>
      </c>
      <c r="E1789" s="17">
        <v>6227.86</v>
      </c>
      <c r="F1789" s="16" t="s">
        <v>8</v>
      </c>
      <c r="G1789" s="38" t="str">
        <f>HYPERLINK("http://enext.ua/BW-6.10.3")</f>
        <v>http://enext.ua/BW-6.10.3</v>
      </c>
    </row>
    <row r="1790" spans="2:7" ht="11.25" outlineLevel="5" x14ac:dyDescent="0.2">
      <c r="B1790" s="14" t="s">
        <v>3423</v>
      </c>
      <c r="C1790" s="14" t="s">
        <v>3424</v>
      </c>
      <c r="D1790" s="14">
        <v>1</v>
      </c>
      <c r="E1790" s="17">
        <v>7330.65</v>
      </c>
      <c r="F1790" s="16" t="s">
        <v>8</v>
      </c>
      <c r="G1790" s="38" t="str">
        <f>HYPERLINK("http://enext.ua/BW-6.12.3")</f>
        <v>http://enext.ua/BW-6.12.3</v>
      </c>
    </row>
    <row r="1791" spans="2:7" ht="11.25" outlineLevel="5" x14ac:dyDescent="0.2">
      <c r="B1791" s="14" t="s">
        <v>3425</v>
      </c>
      <c r="C1791" s="14" t="s">
        <v>3426</v>
      </c>
      <c r="D1791" s="14">
        <v>1</v>
      </c>
      <c r="E1791" s="17">
        <v>8072.89</v>
      </c>
      <c r="F1791" s="16" t="s">
        <v>8</v>
      </c>
      <c r="G1791" s="38" t="str">
        <f>HYPERLINK("http://enext.ua/BW-6.12.4")</f>
        <v>http://enext.ua/BW-6.12.4</v>
      </c>
    </row>
    <row r="1792" spans="2:7" ht="11.25" outlineLevel="5" x14ac:dyDescent="0.2">
      <c r="B1792" s="14" t="s">
        <v>3427</v>
      </c>
      <c r="C1792" s="14" t="s">
        <v>3428</v>
      </c>
      <c r="D1792" s="14">
        <v>1</v>
      </c>
      <c r="E1792" s="17">
        <v>3562.82</v>
      </c>
      <c r="F1792" s="16" t="s">
        <v>8</v>
      </c>
      <c r="G1792" s="38" t="str">
        <f>HYPERLINK("http://enext.ua/BW-6.6.2")</f>
        <v>http://enext.ua/BW-6.6.2</v>
      </c>
    </row>
    <row r="1793" spans="2:7" ht="11.25" outlineLevel="5" x14ac:dyDescent="0.2">
      <c r="B1793" s="14" t="s">
        <v>3429</v>
      </c>
      <c r="C1793" s="14" t="s">
        <v>3430</v>
      </c>
      <c r="D1793" s="14">
        <v>1</v>
      </c>
      <c r="E1793" s="17">
        <v>4085.94</v>
      </c>
      <c r="F1793" s="16" t="s">
        <v>8</v>
      </c>
      <c r="G1793" s="38" t="str">
        <f>HYPERLINK("http://enext.ua/BW-6.6.3")</f>
        <v>http://enext.ua/BW-6.6.3</v>
      </c>
    </row>
    <row r="1794" spans="2:7" ht="11.25" outlineLevel="5" x14ac:dyDescent="0.2">
      <c r="B1794" s="14" t="s">
        <v>3431</v>
      </c>
      <c r="C1794" s="14" t="s">
        <v>3432</v>
      </c>
      <c r="D1794" s="14">
        <v>1</v>
      </c>
      <c r="E1794" s="17">
        <v>4601.99</v>
      </c>
      <c r="F1794" s="16" t="s">
        <v>8</v>
      </c>
      <c r="G1794" s="38" t="str">
        <f>HYPERLINK("http://enext.ua/BW-6.7.3")</f>
        <v>http://enext.ua/BW-6.7.3</v>
      </c>
    </row>
    <row r="1795" spans="2:7" ht="11.25" outlineLevel="5" x14ac:dyDescent="0.2">
      <c r="B1795" s="14" t="s">
        <v>3433</v>
      </c>
      <c r="C1795" s="14" t="s">
        <v>3434</v>
      </c>
      <c r="D1795" s="14">
        <v>1</v>
      </c>
      <c r="E1795" s="17">
        <v>4566.63</v>
      </c>
      <c r="F1795" s="16" t="s">
        <v>8</v>
      </c>
      <c r="G1795" s="38" t="str">
        <f>HYPERLINK("http://enext.ua/BW-6.8.2")</f>
        <v>http://enext.ua/BW-6.8.2</v>
      </c>
    </row>
    <row r="1796" spans="2:7" ht="11.25" outlineLevel="5" x14ac:dyDescent="0.2">
      <c r="B1796" s="14" t="s">
        <v>3435</v>
      </c>
      <c r="C1796" s="14" t="s">
        <v>3436</v>
      </c>
      <c r="D1796" s="14">
        <v>1</v>
      </c>
      <c r="E1796" s="17">
        <v>4863.54</v>
      </c>
      <c r="F1796" s="16" t="s">
        <v>8</v>
      </c>
      <c r="G1796" s="38" t="str">
        <f>HYPERLINK("http://enext.ua/BW-6.8.2,5")</f>
        <v>http://enext.ua/BW-6.8.2,5</v>
      </c>
    </row>
    <row r="1797" spans="2:7" ht="11.25" outlineLevel="5" x14ac:dyDescent="0.2">
      <c r="B1797" s="14" t="s">
        <v>3437</v>
      </c>
      <c r="C1797" s="14" t="s">
        <v>3438</v>
      </c>
      <c r="D1797" s="14">
        <v>1</v>
      </c>
      <c r="E1797" s="17">
        <v>5174.57</v>
      </c>
      <c r="F1797" s="16" t="s">
        <v>8</v>
      </c>
      <c r="G1797" s="38" t="str">
        <f>HYPERLINK("http://enext.ua/BW-6.8.3")</f>
        <v>http://enext.ua/BW-6.8.3</v>
      </c>
    </row>
    <row r="1798" spans="2:7" ht="11.25" outlineLevel="5" x14ac:dyDescent="0.2">
      <c r="B1798" s="14" t="s">
        <v>3439</v>
      </c>
      <c r="C1798" s="14" t="s">
        <v>3440</v>
      </c>
      <c r="D1798" s="14">
        <v>1</v>
      </c>
      <c r="E1798" s="17">
        <v>7464.97</v>
      </c>
      <c r="F1798" s="16" t="s">
        <v>8</v>
      </c>
      <c r="G1798" s="38" t="str">
        <f>HYPERLINK("http://enext.ua/BW-7.10.3,5")</f>
        <v>http://enext.ua/BW-7.10.3,5</v>
      </c>
    </row>
    <row r="1799" spans="2:7" ht="11.25" outlineLevel="5" x14ac:dyDescent="0.2">
      <c r="B1799" s="14" t="s">
        <v>3441</v>
      </c>
      <c r="C1799" s="14" t="s">
        <v>3442</v>
      </c>
      <c r="D1799" s="14">
        <v>1</v>
      </c>
      <c r="E1799" s="17">
        <v>7952.72</v>
      </c>
      <c r="F1799" s="16" t="s">
        <v>8</v>
      </c>
      <c r="G1799" s="38" t="str">
        <f>HYPERLINK("http://enext.ua/BW-8.10.3")</f>
        <v>http://enext.ua/BW-8.10.3</v>
      </c>
    </row>
    <row r="1800" spans="2:7" ht="11.25" outlineLevel="5" x14ac:dyDescent="0.2">
      <c r="B1800" s="14" t="s">
        <v>3443</v>
      </c>
      <c r="C1800" s="14" t="s">
        <v>3444</v>
      </c>
      <c r="D1800" s="14">
        <v>1</v>
      </c>
      <c r="E1800" s="17">
        <v>8907.06</v>
      </c>
      <c r="F1800" s="16" t="s">
        <v>8</v>
      </c>
      <c r="G1800" s="38" t="str">
        <f>HYPERLINK("http://enext.ua/BW-8.12.2,5")</f>
        <v>http://enext.ua/BW-8.12.2,5</v>
      </c>
    </row>
    <row r="1801" spans="2:7" ht="11.25" outlineLevel="5" x14ac:dyDescent="0.2">
      <c r="B1801" s="14" t="s">
        <v>3445</v>
      </c>
      <c r="C1801" s="14" t="s">
        <v>3446</v>
      </c>
      <c r="D1801" s="14">
        <v>1</v>
      </c>
      <c r="E1801" s="17">
        <v>9324.14</v>
      </c>
      <c r="F1801" s="16" t="s">
        <v>8</v>
      </c>
      <c r="G1801" s="38" t="str">
        <f>HYPERLINK("http://enext.ua/BW-8.12.3")</f>
        <v>http://enext.ua/BW-8.12.3</v>
      </c>
    </row>
    <row r="1802" spans="2:7" ht="11.25" outlineLevel="5" x14ac:dyDescent="0.2">
      <c r="B1802" s="14" t="s">
        <v>3447</v>
      </c>
      <c r="C1802" s="14" t="s">
        <v>3448</v>
      </c>
      <c r="D1802" s="14">
        <v>1</v>
      </c>
      <c r="E1802" s="17">
        <v>10179.49</v>
      </c>
      <c r="F1802" s="16" t="s">
        <v>8</v>
      </c>
      <c r="G1802" s="38" t="str">
        <f>HYPERLINK("http://enext.ua/BW-8.12.4")</f>
        <v>http://enext.ua/BW-8.12.4</v>
      </c>
    </row>
    <row r="1803" spans="2:7" ht="11.25" outlineLevel="5" x14ac:dyDescent="0.2">
      <c r="B1803" s="14" t="s">
        <v>3449</v>
      </c>
      <c r="C1803" s="14" t="s">
        <v>3450</v>
      </c>
      <c r="D1803" s="14">
        <v>1</v>
      </c>
      <c r="E1803" s="17">
        <v>6588.39</v>
      </c>
      <c r="F1803" s="16" t="s">
        <v>8</v>
      </c>
      <c r="G1803" s="38" t="str">
        <f>HYPERLINK("http://enext.ua/BW-8.8.3")</f>
        <v>http://enext.ua/BW-8.8.3</v>
      </c>
    </row>
    <row r="1804" spans="2:7" ht="12" outlineLevel="4" x14ac:dyDescent="0.2">
      <c r="B1804" s="12"/>
      <c r="C1804" s="37" t="s">
        <v>3451</v>
      </c>
      <c r="D1804" s="12"/>
      <c r="E1804" s="13"/>
      <c r="F1804" s="13"/>
      <c r="G1804" s="12"/>
    </row>
    <row r="1805" spans="2:7" ht="11.25" outlineLevel="5" x14ac:dyDescent="0.2">
      <c r="B1805" s="14" t="s">
        <v>3452</v>
      </c>
      <c r="C1805" s="14" t="s">
        <v>3453</v>
      </c>
      <c r="D1805" s="14">
        <v>1</v>
      </c>
      <c r="E1805" s="17">
        <v>6051.14</v>
      </c>
      <c r="F1805" s="16" t="s">
        <v>8</v>
      </c>
      <c r="G1805" s="14"/>
    </row>
    <row r="1806" spans="2:7" ht="11.25" outlineLevel="5" x14ac:dyDescent="0.2">
      <c r="B1806" s="14" t="s">
        <v>3454</v>
      </c>
      <c r="C1806" s="14" t="s">
        <v>3455</v>
      </c>
      <c r="D1806" s="14">
        <v>1</v>
      </c>
      <c r="E1806" s="17">
        <v>7903.25</v>
      </c>
      <c r="F1806" s="16" t="s">
        <v>8</v>
      </c>
      <c r="G1806" s="14"/>
    </row>
    <row r="1807" spans="2:7" ht="11.25" outlineLevel="5" x14ac:dyDescent="0.2">
      <c r="B1807" s="14" t="s">
        <v>3456</v>
      </c>
      <c r="C1807" s="14" t="s">
        <v>3457</v>
      </c>
      <c r="D1807" s="14">
        <v>1</v>
      </c>
      <c r="E1807" s="17">
        <v>11840.72</v>
      </c>
      <c r="F1807" s="16" t="s">
        <v>8</v>
      </c>
      <c r="G1807" s="14"/>
    </row>
    <row r="1808" spans="2:7" ht="11.25" outlineLevel="5" x14ac:dyDescent="0.2">
      <c r="B1808" s="14" t="s">
        <v>3458</v>
      </c>
      <c r="C1808" s="14" t="s">
        <v>3459</v>
      </c>
      <c r="D1808" s="14">
        <v>1</v>
      </c>
      <c r="E1808" s="17">
        <v>17658.59</v>
      </c>
      <c r="F1808" s="16" t="s">
        <v>8</v>
      </c>
      <c r="G1808" s="14"/>
    </row>
    <row r="1809" spans="2:7" ht="11.25" outlineLevel="5" x14ac:dyDescent="0.2">
      <c r="B1809" s="14" t="s">
        <v>3460</v>
      </c>
      <c r="C1809" s="14" t="s">
        <v>3461</v>
      </c>
      <c r="D1809" s="14">
        <v>1</v>
      </c>
      <c r="E1809" s="17">
        <v>17192.02</v>
      </c>
      <c r="F1809" s="16" t="s">
        <v>8</v>
      </c>
      <c r="G1809" s="14"/>
    </row>
    <row r="1810" spans="2:7" ht="11.25" outlineLevel="5" x14ac:dyDescent="0.2">
      <c r="B1810" s="14" t="s">
        <v>3462</v>
      </c>
      <c r="C1810" s="14" t="s">
        <v>3463</v>
      </c>
      <c r="D1810" s="14">
        <v>1</v>
      </c>
      <c r="E1810" s="17">
        <v>7790.14</v>
      </c>
      <c r="F1810" s="16" t="s">
        <v>8</v>
      </c>
      <c r="G1810" s="14"/>
    </row>
    <row r="1811" spans="2:7" ht="11.25" outlineLevel="5" x14ac:dyDescent="0.2">
      <c r="B1811" s="14" t="s">
        <v>3464</v>
      </c>
      <c r="C1811" s="14" t="s">
        <v>3465</v>
      </c>
      <c r="D1811" s="14">
        <v>1</v>
      </c>
      <c r="E1811" s="17">
        <v>13162.64</v>
      </c>
      <c r="F1811" s="16" t="s">
        <v>8</v>
      </c>
      <c r="G1811" s="14"/>
    </row>
    <row r="1812" spans="2:7" ht="11.25" outlineLevel="5" x14ac:dyDescent="0.2">
      <c r="B1812" s="14" t="s">
        <v>3466</v>
      </c>
      <c r="C1812" s="14" t="s">
        <v>3467</v>
      </c>
      <c r="D1812" s="14">
        <v>1</v>
      </c>
      <c r="E1812" s="17">
        <v>15177.34</v>
      </c>
      <c r="F1812" s="16" t="s">
        <v>8</v>
      </c>
      <c r="G1812" s="14"/>
    </row>
    <row r="1813" spans="2:7" ht="11.25" outlineLevel="5" x14ac:dyDescent="0.2">
      <c r="B1813" s="14" t="s">
        <v>3468</v>
      </c>
      <c r="C1813" s="14" t="s">
        <v>3469</v>
      </c>
      <c r="D1813" s="14">
        <v>1</v>
      </c>
      <c r="E1813" s="17">
        <v>8596.01</v>
      </c>
      <c r="F1813" s="16" t="s">
        <v>8</v>
      </c>
      <c r="G1813" s="14"/>
    </row>
    <row r="1814" spans="2:7" ht="11.25" outlineLevel="5" x14ac:dyDescent="0.2">
      <c r="B1814" s="14" t="s">
        <v>3470</v>
      </c>
      <c r="C1814" s="14" t="s">
        <v>3471</v>
      </c>
      <c r="D1814" s="14">
        <v>1</v>
      </c>
      <c r="E1814" s="17">
        <v>9529.14</v>
      </c>
      <c r="F1814" s="16" t="s">
        <v>8</v>
      </c>
      <c r="G1814" s="14"/>
    </row>
    <row r="1815" spans="2:7" ht="11.25" outlineLevel="5" x14ac:dyDescent="0.2">
      <c r="B1815" s="14" t="s">
        <v>3472</v>
      </c>
      <c r="C1815" s="14" t="s">
        <v>3473</v>
      </c>
      <c r="D1815" s="14">
        <v>1</v>
      </c>
      <c r="E1815" s="17">
        <v>9331.19</v>
      </c>
      <c r="F1815" s="16" t="s">
        <v>8</v>
      </c>
      <c r="G1815" s="14"/>
    </row>
    <row r="1816" spans="2:7" ht="11.25" outlineLevel="5" x14ac:dyDescent="0.2">
      <c r="B1816" s="14" t="s">
        <v>3474</v>
      </c>
      <c r="C1816" s="14" t="s">
        <v>3475</v>
      </c>
      <c r="D1816" s="14">
        <v>1</v>
      </c>
      <c r="E1816" s="17">
        <v>10752.08</v>
      </c>
      <c r="F1816" s="16" t="s">
        <v>8</v>
      </c>
      <c r="G1816" s="14"/>
    </row>
    <row r="1817" spans="2:7" ht="11.25" outlineLevel="5" x14ac:dyDescent="0.2">
      <c r="B1817" s="14" t="s">
        <v>3476</v>
      </c>
      <c r="C1817" s="14" t="s">
        <v>3477</v>
      </c>
      <c r="D1817" s="14">
        <v>1</v>
      </c>
      <c r="E1817" s="17">
        <v>7097.75</v>
      </c>
      <c r="F1817" s="16" t="s">
        <v>8</v>
      </c>
      <c r="G1817" s="14"/>
    </row>
    <row r="1818" spans="2:7" ht="11.25" outlineLevel="5" x14ac:dyDescent="0.2">
      <c r="B1818" s="14" t="s">
        <v>3478</v>
      </c>
      <c r="C1818" s="14" t="s">
        <v>3479</v>
      </c>
      <c r="D1818" s="14">
        <v>1</v>
      </c>
      <c r="E1818" s="17">
        <v>10349.15</v>
      </c>
      <c r="F1818" s="16" t="s">
        <v>8</v>
      </c>
      <c r="G1818" s="14"/>
    </row>
    <row r="1819" spans="2:7" ht="11.25" outlineLevel="5" x14ac:dyDescent="0.2">
      <c r="B1819" s="14" t="s">
        <v>3480</v>
      </c>
      <c r="C1819" s="14" t="s">
        <v>3481</v>
      </c>
      <c r="D1819" s="14">
        <v>1</v>
      </c>
      <c r="E1819" s="17">
        <v>11282.27</v>
      </c>
      <c r="F1819" s="16" t="s">
        <v>8</v>
      </c>
      <c r="G1819" s="14"/>
    </row>
    <row r="1820" spans="2:7" ht="11.25" outlineLevel="5" x14ac:dyDescent="0.2">
      <c r="B1820" s="14" t="s">
        <v>3482</v>
      </c>
      <c r="C1820" s="14" t="s">
        <v>3483</v>
      </c>
      <c r="D1820" s="14">
        <v>1</v>
      </c>
      <c r="E1820" s="17">
        <v>12950.57</v>
      </c>
      <c r="F1820" s="16" t="s">
        <v>8</v>
      </c>
      <c r="G1820" s="14"/>
    </row>
    <row r="1821" spans="2:7" ht="11.25" outlineLevel="5" x14ac:dyDescent="0.2">
      <c r="B1821" s="14" t="s">
        <v>3484</v>
      </c>
      <c r="C1821" s="14" t="s">
        <v>3485</v>
      </c>
      <c r="D1821" s="14">
        <v>1</v>
      </c>
      <c r="E1821" s="17">
        <v>13770.58</v>
      </c>
      <c r="F1821" s="16" t="s">
        <v>8</v>
      </c>
      <c r="G1821" s="14"/>
    </row>
    <row r="1822" spans="2:7" ht="11.25" outlineLevel="5" x14ac:dyDescent="0.2">
      <c r="B1822" s="14" t="s">
        <v>3486</v>
      </c>
      <c r="C1822" s="14" t="s">
        <v>3487</v>
      </c>
      <c r="D1822" s="14">
        <v>1</v>
      </c>
      <c r="E1822" s="17">
        <v>1731.93</v>
      </c>
      <c r="F1822" s="16" t="s">
        <v>8</v>
      </c>
      <c r="G1822" s="14"/>
    </row>
    <row r="1823" spans="2:7" ht="11.25" outlineLevel="5" x14ac:dyDescent="0.2">
      <c r="B1823" s="14" t="s">
        <v>3488</v>
      </c>
      <c r="C1823" s="14" t="s">
        <v>3489</v>
      </c>
      <c r="D1823" s="14">
        <v>1</v>
      </c>
      <c r="E1823" s="17">
        <v>6807.53</v>
      </c>
      <c r="F1823" s="16" t="s">
        <v>8</v>
      </c>
      <c r="G1823" s="14"/>
    </row>
    <row r="1824" spans="2:7" ht="11.25" outlineLevel="5" x14ac:dyDescent="0.2">
      <c r="B1824" s="14" t="s">
        <v>3490</v>
      </c>
      <c r="C1824" s="14" t="s">
        <v>3491</v>
      </c>
      <c r="D1824" s="14">
        <v>1</v>
      </c>
      <c r="E1824" s="17">
        <v>1152.26</v>
      </c>
      <c r="F1824" s="16" t="s">
        <v>8</v>
      </c>
      <c r="G1824" s="14"/>
    </row>
    <row r="1825" spans="2:7" ht="11.25" outlineLevel="5" x14ac:dyDescent="0.2">
      <c r="B1825" s="14" t="s">
        <v>3492</v>
      </c>
      <c r="C1825" s="14" t="s">
        <v>3493</v>
      </c>
      <c r="D1825" s="14">
        <v>1</v>
      </c>
      <c r="E1825" s="17">
        <v>2919.53</v>
      </c>
      <c r="F1825" s="16" t="s">
        <v>8</v>
      </c>
      <c r="G1825" s="14"/>
    </row>
    <row r="1826" spans="2:7" ht="11.25" outlineLevel="5" x14ac:dyDescent="0.2">
      <c r="B1826" s="14" t="s">
        <v>3494</v>
      </c>
      <c r="C1826" s="14" t="s">
        <v>3495</v>
      </c>
      <c r="D1826" s="14">
        <v>1</v>
      </c>
      <c r="E1826" s="17">
        <v>6093.55</v>
      </c>
      <c r="F1826" s="16" t="s">
        <v>8</v>
      </c>
      <c r="G1826" s="14"/>
    </row>
    <row r="1827" spans="2:7" ht="11.25" outlineLevel="5" x14ac:dyDescent="0.2">
      <c r="B1827" s="14" t="s">
        <v>3496</v>
      </c>
      <c r="C1827" s="14" t="s">
        <v>3497</v>
      </c>
      <c r="D1827" s="14">
        <v>1</v>
      </c>
      <c r="E1827" s="17">
        <v>7599.27</v>
      </c>
      <c r="F1827" s="16" t="s">
        <v>8</v>
      </c>
      <c r="G1827" s="14"/>
    </row>
    <row r="1828" spans="2:7" ht="11.25" outlineLevel="5" x14ac:dyDescent="0.2">
      <c r="B1828" s="14" t="s">
        <v>3498</v>
      </c>
      <c r="C1828" s="14" t="s">
        <v>3499</v>
      </c>
      <c r="D1828" s="14">
        <v>1</v>
      </c>
      <c r="E1828" s="17">
        <v>2905.39</v>
      </c>
      <c r="F1828" s="16" t="s">
        <v>8</v>
      </c>
      <c r="G1828" s="14"/>
    </row>
    <row r="1829" spans="2:7" ht="11.25" outlineLevel="5" x14ac:dyDescent="0.2">
      <c r="B1829" s="14" t="s">
        <v>3500</v>
      </c>
      <c r="C1829" s="14" t="s">
        <v>3501</v>
      </c>
      <c r="D1829" s="14">
        <v>1</v>
      </c>
      <c r="E1829" s="17">
        <v>3244.72</v>
      </c>
      <c r="F1829" s="16" t="s">
        <v>8</v>
      </c>
      <c r="G1829" s="14"/>
    </row>
    <row r="1830" spans="2:7" ht="11.25" outlineLevel="5" x14ac:dyDescent="0.2">
      <c r="B1830" s="14" t="s">
        <v>3502</v>
      </c>
      <c r="C1830" s="14" t="s">
        <v>3503</v>
      </c>
      <c r="D1830" s="14">
        <v>1</v>
      </c>
      <c r="E1830" s="17">
        <v>3619.38</v>
      </c>
      <c r="F1830" s="16" t="s">
        <v>8</v>
      </c>
      <c r="G1830" s="14"/>
    </row>
    <row r="1831" spans="2:7" ht="11.25" outlineLevel="5" x14ac:dyDescent="0.2">
      <c r="B1831" s="14" t="s">
        <v>3504</v>
      </c>
      <c r="C1831" s="14" t="s">
        <v>3505</v>
      </c>
      <c r="D1831" s="14">
        <v>1</v>
      </c>
      <c r="E1831" s="17">
        <v>3937.49</v>
      </c>
      <c r="F1831" s="16" t="s">
        <v>8</v>
      </c>
      <c r="G1831" s="14"/>
    </row>
    <row r="1832" spans="2:7" ht="11.25" outlineLevel="5" x14ac:dyDescent="0.2">
      <c r="B1832" s="14" t="s">
        <v>3506</v>
      </c>
      <c r="C1832" s="14" t="s">
        <v>3507</v>
      </c>
      <c r="D1832" s="14">
        <v>1</v>
      </c>
      <c r="E1832" s="17">
        <v>4460.59</v>
      </c>
      <c r="F1832" s="16" t="s">
        <v>8</v>
      </c>
      <c r="G1832" s="14"/>
    </row>
    <row r="1833" spans="2:7" ht="11.25" outlineLevel="5" x14ac:dyDescent="0.2">
      <c r="B1833" s="14" t="s">
        <v>3508</v>
      </c>
      <c r="C1833" s="14" t="s">
        <v>3509</v>
      </c>
      <c r="D1833" s="14">
        <v>1</v>
      </c>
      <c r="E1833" s="17">
        <v>4983.71</v>
      </c>
      <c r="F1833" s="16" t="s">
        <v>8</v>
      </c>
      <c r="G1833" s="14"/>
    </row>
    <row r="1834" spans="2:7" ht="11.25" outlineLevel="5" x14ac:dyDescent="0.2">
      <c r="B1834" s="14" t="s">
        <v>3510</v>
      </c>
      <c r="C1834" s="14" t="s">
        <v>3511</v>
      </c>
      <c r="D1834" s="14">
        <v>1</v>
      </c>
      <c r="E1834" s="15">
        <v>685.7</v>
      </c>
      <c r="F1834" s="16" t="s">
        <v>8</v>
      </c>
      <c r="G1834" s="14"/>
    </row>
    <row r="1835" spans="2:7" ht="12" outlineLevel="3" x14ac:dyDescent="0.2">
      <c r="B1835" s="10"/>
      <c r="C1835" s="36" t="s">
        <v>3512</v>
      </c>
      <c r="D1835" s="10"/>
      <c r="E1835" s="11"/>
      <c r="F1835" s="11"/>
      <c r="G1835" s="10"/>
    </row>
    <row r="1836" spans="2:7" ht="12" outlineLevel="4" x14ac:dyDescent="0.2">
      <c r="B1836" s="12"/>
      <c r="C1836" s="37" t="s">
        <v>3513</v>
      </c>
      <c r="D1836" s="12"/>
      <c r="E1836" s="13"/>
      <c r="F1836" s="13"/>
      <c r="G1836" s="12"/>
    </row>
    <row r="1837" spans="2:7" ht="12" outlineLevel="5" x14ac:dyDescent="0.2">
      <c r="B1837" s="18"/>
      <c r="C1837" s="39" t="s">
        <v>3514</v>
      </c>
      <c r="D1837" s="18"/>
      <c r="E1837" s="19"/>
      <c r="F1837" s="19"/>
      <c r="G1837" s="18"/>
    </row>
    <row r="1838" spans="2:7" ht="24" outlineLevel="6" x14ac:dyDescent="0.2">
      <c r="B1838" s="18"/>
      <c r="C1838" s="39" t="s">
        <v>3515</v>
      </c>
      <c r="D1838" s="18"/>
      <c r="E1838" s="19"/>
      <c r="F1838" s="19"/>
      <c r="G1838" s="18"/>
    </row>
    <row r="1839" spans="2:7" ht="11.25" outlineLevel="7" x14ac:dyDescent="0.2">
      <c r="B1839" s="14" t="s">
        <v>3516</v>
      </c>
      <c r="C1839" s="14" t="s">
        <v>3517</v>
      </c>
      <c r="D1839" s="14">
        <v>1</v>
      </c>
      <c r="E1839" s="17">
        <v>3499.2</v>
      </c>
      <c r="F1839" s="16" t="s">
        <v>8</v>
      </c>
      <c r="G1839" s="38" t="str">
        <f>HYPERLINK("http://enext.ua/ЩЭ-2ст")</f>
        <v>http://enext.ua/ЩЭ-2ст</v>
      </c>
    </row>
    <row r="1840" spans="2:7" ht="11.25" outlineLevel="7" x14ac:dyDescent="0.2">
      <c r="B1840" s="14" t="s">
        <v>3518</v>
      </c>
      <c r="C1840" s="14" t="s">
        <v>3519</v>
      </c>
      <c r="D1840" s="14">
        <v>1</v>
      </c>
      <c r="E1840" s="17">
        <v>3499.2</v>
      </c>
      <c r="F1840" s="16" t="s">
        <v>8</v>
      </c>
      <c r="G1840" s="38" t="str">
        <f>HYPERLINK("http://enext.ua/ЩЭ-2ст-01")</f>
        <v>http://enext.ua/ЩЭ-2ст-01</v>
      </c>
    </row>
    <row r="1841" spans="2:7" ht="11.25" outlineLevel="7" x14ac:dyDescent="0.2">
      <c r="B1841" s="14" t="s">
        <v>3520</v>
      </c>
      <c r="C1841" s="14" t="s">
        <v>3521</v>
      </c>
      <c r="D1841" s="14">
        <v>1</v>
      </c>
      <c r="E1841" s="17">
        <v>3569.89</v>
      </c>
      <c r="F1841" s="16" t="s">
        <v>8</v>
      </c>
      <c r="G1841" s="38" t="str">
        <f>HYPERLINK("http://enext.ua/ЩЭ-3ст")</f>
        <v>http://enext.ua/ЩЭ-3ст</v>
      </c>
    </row>
    <row r="1842" spans="2:7" ht="11.25" outlineLevel="7" x14ac:dyDescent="0.2">
      <c r="B1842" s="14" t="s">
        <v>3522</v>
      </c>
      <c r="C1842" s="14" t="s">
        <v>3523</v>
      </c>
      <c r="D1842" s="14">
        <v>1</v>
      </c>
      <c r="E1842" s="17">
        <v>2313.8200000000002</v>
      </c>
      <c r="F1842" s="16" t="s">
        <v>8</v>
      </c>
      <c r="G1842" s="38" t="str">
        <f>HYPERLINK("http://enext.ua/ЩЭ-3ст-01")</f>
        <v>http://enext.ua/ЩЭ-3ст-01</v>
      </c>
    </row>
    <row r="1843" spans="2:7" ht="11.25" outlineLevel="7" x14ac:dyDescent="0.2">
      <c r="B1843" s="14" t="s">
        <v>3524</v>
      </c>
      <c r="C1843" s="14" t="s">
        <v>3525</v>
      </c>
      <c r="D1843" s="14">
        <v>1</v>
      </c>
      <c r="E1843" s="17">
        <v>3605.23</v>
      </c>
      <c r="F1843" s="16" t="s">
        <v>8</v>
      </c>
      <c r="G1843" s="38" t="str">
        <f>HYPERLINK("http://enext.ua/ЩЭ-4ст")</f>
        <v>http://enext.ua/ЩЭ-4ст</v>
      </c>
    </row>
    <row r="1844" spans="2:7" ht="11.25" outlineLevel="7" x14ac:dyDescent="0.2">
      <c r="B1844" s="14" t="s">
        <v>3526</v>
      </c>
      <c r="C1844" s="14" t="s">
        <v>3527</v>
      </c>
      <c r="D1844" s="14">
        <v>1</v>
      </c>
      <c r="E1844" s="17">
        <v>2336.73</v>
      </c>
      <c r="F1844" s="16" t="s">
        <v>8</v>
      </c>
      <c r="G1844" s="38" t="str">
        <f>HYPERLINK("http://enext.ua/ЩЭ-4ст-01")</f>
        <v>http://enext.ua/ЩЭ-4ст-01</v>
      </c>
    </row>
    <row r="1845" spans="2:7" ht="11.25" outlineLevel="7" x14ac:dyDescent="0.2">
      <c r="B1845" s="14" t="s">
        <v>3528</v>
      </c>
      <c r="C1845" s="14" t="s">
        <v>3529</v>
      </c>
      <c r="D1845" s="14">
        <v>1</v>
      </c>
      <c r="E1845" s="17">
        <v>3074.4</v>
      </c>
      <c r="F1845" s="16" t="s">
        <v>8</v>
      </c>
      <c r="G1845" s="38" t="str">
        <f>HYPERLINK("http://enext.ua/ЩЭ-5ст-02")</f>
        <v>http://enext.ua/ЩЭ-5ст-02</v>
      </c>
    </row>
    <row r="1846" spans="2:7" ht="11.25" outlineLevel="7" x14ac:dyDescent="0.2">
      <c r="B1846" s="14" t="s">
        <v>3530</v>
      </c>
      <c r="C1846" s="14" t="s">
        <v>3531</v>
      </c>
      <c r="D1846" s="14">
        <v>1</v>
      </c>
      <c r="E1846" s="17">
        <v>4806.9799999999996</v>
      </c>
      <c r="F1846" s="16" t="s">
        <v>8</v>
      </c>
      <c r="G1846" s="38" t="str">
        <f>HYPERLINK("http://enext.ua/ЩЭ-6ст-02")</f>
        <v>http://enext.ua/ЩЭ-6ст-02</v>
      </c>
    </row>
    <row r="1847" spans="2:7" ht="11.25" outlineLevel="7" x14ac:dyDescent="0.2">
      <c r="B1847" s="14" t="s">
        <v>3532</v>
      </c>
      <c r="C1847" s="14" t="s">
        <v>3533</v>
      </c>
      <c r="D1847" s="14">
        <v>1</v>
      </c>
      <c r="E1847" s="17">
        <v>6051.14</v>
      </c>
      <c r="F1847" s="16" t="s">
        <v>8</v>
      </c>
      <c r="G1847" s="14"/>
    </row>
    <row r="1848" spans="2:7" ht="11.25" outlineLevel="7" x14ac:dyDescent="0.2">
      <c r="B1848" s="14" t="s">
        <v>3534</v>
      </c>
      <c r="C1848" s="14" t="s">
        <v>3535</v>
      </c>
      <c r="D1848" s="14">
        <v>1</v>
      </c>
      <c r="E1848" s="17">
        <v>6093.55</v>
      </c>
      <c r="F1848" s="16" t="s">
        <v>8</v>
      </c>
      <c r="G1848" s="14"/>
    </row>
    <row r="1849" spans="2:7" ht="24" outlineLevel="6" x14ac:dyDescent="0.2">
      <c r="B1849" s="18"/>
      <c r="C1849" s="39" t="s">
        <v>3536</v>
      </c>
      <c r="D1849" s="18"/>
      <c r="E1849" s="19"/>
      <c r="F1849" s="19"/>
      <c r="G1849" s="18"/>
    </row>
    <row r="1850" spans="2:7" ht="11.25" outlineLevel="7" x14ac:dyDescent="0.2">
      <c r="B1850" s="14" t="s">
        <v>3537</v>
      </c>
      <c r="C1850" s="14" t="s">
        <v>3538</v>
      </c>
      <c r="D1850" s="14">
        <v>1</v>
      </c>
      <c r="E1850" s="17">
        <v>2926.61</v>
      </c>
      <c r="F1850" s="16" t="s">
        <v>8</v>
      </c>
      <c r="G1850" s="38" t="str">
        <f>HYPERLINK("http://enext.ua/ЩЭ-2-01")</f>
        <v>http://enext.ua/ЩЭ-2-01</v>
      </c>
    </row>
    <row r="1851" spans="2:7" ht="11.25" outlineLevel="7" x14ac:dyDescent="0.2">
      <c r="B1851" s="14" t="s">
        <v>3539</v>
      </c>
      <c r="C1851" s="14" t="s">
        <v>3540</v>
      </c>
      <c r="D1851" s="14">
        <v>1</v>
      </c>
      <c r="E1851" s="17">
        <v>2940.73</v>
      </c>
      <c r="F1851" s="16" t="s">
        <v>8</v>
      </c>
      <c r="G1851" s="38" t="str">
        <f>HYPERLINK("http://enext.ua/ЩЭ-3-01")</f>
        <v>http://enext.ua/ЩЭ-3-01</v>
      </c>
    </row>
    <row r="1852" spans="2:7" ht="11.25" outlineLevel="7" x14ac:dyDescent="0.2">
      <c r="B1852" s="14" t="s">
        <v>3541</v>
      </c>
      <c r="C1852" s="14" t="s">
        <v>3542</v>
      </c>
      <c r="D1852" s="14">
        <v>1</v>
      </c>
      <c r="E1852" s="17">
        <v>3011.43</v>
      </c>
      <c r="F1852" s="16" t="s">
        <v>8</v>
      </c>
      <c r="G1852" s="38" t="str">
        <f>HYPERLINK("http://enext.ua/ЩЭ-4-01")</f>
        <v>http://enext.ua/ЩЭ-4-01</v>
      </c>
    </row>
    <row r="1853" spans="2:7" ht="11.25" outlineLevel="7" x14ac:dyDescent="0.2">
      <c r="B1853" s="14" t="s">
        <v>3543</v>
      </c>
      <c r="C1853" s="14" t="s">
        <v>3544</v>
      </c>
      <c r="D1853" s="14">
        <v>1</v>
      </c>
      <c r="E1853" s="17">
        <v>4114.22</v>
      </c>
      <c r="F1853" s="16" t="s">
        <v>8</v>
      </c>
      <c r="G1853" s="38" t="str">
        <f>HYPERLINK("http://enext.ua/ЩЭ-5-02")</f>
        <v>http://enext.ua/ЩЭ-5-02</v>
      </c>
    </row>
    <row r="1854" spans="2:7" ht="11.25" outlineLevel="7" x14ac:dyDescent="0.2">
      <c r="B1854" s="14" t="s">
        <v>3545</v>
      </c>
      <c r="C1854" s="14" t="s">
        <v>3546</v>
      </c>
      <c r="D1854" s="14">
        <v>1</v>
      </c>
      <c r="E1854" s="17">
        <v>4170.7700000000004</v>
      </c>
      <c r="F1854" s="16" t="s">
        <v>8</v>
      </c>
      <c r="G1854" s="38" t="str">
        <f>HYPERLINK("http://enext.ua/ЩЭ-6-02")</f>
        <v>http://enext.ua/ЩЭ-6-02</v>
      </c>
    </row>
    <row r="1855" spans="2:7" ht="12" outlineLevel="5" x14ac:dyDescent="0.2">
      <c r="B1855" s="18"/>
      <c r="C1855" s="39" t="s">
        <v>3547</v>
      </c>
      <c r="D1855" s="18"/>
      <c r="E1855" s="19"/>
      <c r="F1855" s="19"/>
      <c r="G1855" s="18"/>
    </row>
    <row r="1856" spans="2:7" ht="24" outlineLevel="6" x14ac:dyDescent="0.2">
      <c r="B1856" s="18"/>
      <c r="C1856" s="39" t="s">
        <v>3548</v>
      </c>
      <c r="D1856" s="18"/>
      <c r="E1856" s="19"/>
      <c r="F1856" s="19"/>
      <c r="G1856" s="18"/>
    </row>
    <row r="1857" spans="2:7" ht="22.5" outlineLevel="7" x14ac:dyDescent="0.2">
      <c r="B1857" s="14" t="s">
        <v>3549</v>
      </c>
      <c r="C1857" s="14" t="s">
        <v>3550</v>
      </c>
      <c r="D1857" s="14">
        <v>1</v>
      </c>
      <c r="E1857" s="17">
        <v>3930.41</v>
      </c>
      <c r="F1857" s="16" t="s">
        <v>8</v>
      </c>
      <c r="G1857" s="38" t="str">
        <f>HYPERLINK("http://enext.ua/ЩЭ-2ст-01У")</f>
        <v>http://enext.ua/ЩЭ-2ст-01У</v>
      </c>
    </row>
    <row r="1858" spans="2:7" ht="22.5" outlineLevel="7" x14ac:dyDescent="0.2">
      <c r="B1858" s="14" t="s">
        <v>3551</v>
      </c>
      <c r="C1858" s="14" t="s">
        <v>3552</v>
      </c>
      <c r="D1858" s="14">
        <v>1</v>
      </c>
      <c r="E1858" s="17">
        <v>3958.7</v>
      </c>
      <c r="F1858" s="16" t="s">
        <v>8</v>
      </c>
      <c r="G1858" s="38" t="str">
        <f>HYPERLINK("http://enext.ua/ЩЭ-3ст-01У")</f>
        <v>http://enext.ua/ЩЭ-3ст-01У</v>
      </c>
    </row>
    <row r="1859" spans="2:7" ht="22.5" outlineLevel="7" x14ac:dyDescent="0.2">
      <c r="B1859" s="14" t="s">
        <v>3553</v>
      </c>
      <c r="C1859" s="14" t="s">
        <v>3554</v>
      </c>
      <c r="D1859" s="14">
        <v>1</v>
      </c>
      <c r="E1859" s="17">
        <v>4036.45</v>
      </c>
      <c r="F1859" s="16" t="s">
        <v>8</v>
      </c>
      <c r="G1859" s="38" t="str">
        <f>HYPERLINK("http://enext.ua/ЩЭ-4ст-01У")</f>
        <v>http://enext.ua/ЩЭ-4ст-01У</v>
      </c>
    </row>
    <row r="1860" spans="2:7" ht="22.5" outlineLevel="7" x14ac:dyDescent="0.2">
      <c r="B1860" s="14" t="s">
        <v>3555</v>
      </c>
      <c r="C1860" s="14" t="s">
        <v>3556</v>
      </c>
      <c r="D1860" s="14">
        <v>1</v>
      </c>
      <c r="E1860" s="17">
        <v>3843.72</v>
      </c>
      <c r="F1860" s="16" t="s">
        <v>8</v>
      </c>
      <c r="G1860" s="38" t="str">
        <f>HYPERLINK("http://enext.ua/ЩЭ-5ст-02У")</f>
        <v>http://enext.ua/ЩЭ-5ст-02У</v>
      </c>
    </row>
    <row r="1861" spans="2:7" ht="22.5" outlineLevel="7" x14ac:dyDescent="0.2">
      <c r="B1861" s="14" t="s">
        <v>3557</v>
      </c>
      <c r="C1861" s="14" t="s">
        <v>3558</v>
      </c>
      <c r="D1861" s="14">
        <v>1</v>
      </c>
      <c r="E1861" s="17">
        <v>3891.78</v>
      </c>
      <c r="F1861" s="16" t="s">
        <v>8</v>
      </c>
      <c r="G1861" s="38" t="str">
        <f>HYPERLINK("http://enext.ua/ЩЭ-6ст-02У")</f>
        <v>http://enext.ua/ЩЭ-6ст-02У</v>
      </c>
    </row>
    <row r="1862" spans="2:7" ht="24" outlineLevel="6" x14ac:dyDescent="0.2">
      <c r="B1862" s="18"/>
      <c r="C1862" s="39" t="s">
        <v>3559</v>
      </c>
      <c r="D1862" s="18"/>
      <c r="E1862" s="19"/>
      <c r="F1862" s="19"/>
      <c r="G1862" s="18"/>
    </row>
    <row r="1863" spans="2:7" ht="22.5" outlineLevel="7" x14ac:dyDescent="0.2">
      <c r="B1863" s="14" t="s">
        <v>3560</v>
      </c>
      <c r="C1863" s="14" t="s">
        <v>3561</v>
      </c>
      <c r="D1863" s="14">
        <v>1</v>
      </c>
      <c r="E1863" s="17">
        <v>3930.41</v>
      </c>
      <c r="F1863" s="16" t="s">
        <v>8</v>
      </c>
      <c r="G1863" s="38" t="str">
        <f>HYPERLINK("http://enext.ua/ЩЭЗО-2 стУ")</f>
        <v>http://enext.ua/ЩЭЗО-2 стУ</v>
      </c>
    </row>
    <row r="1864" spans="2:7" ht="22.5" outlineLevel="7" x14ac:dyDescent="0.2">
      <c r="B1864" s="14" t="s">
        <v>3562</v>
      </c>
      <c r="C1864" s="14" t="s">
        <v>3563</v>
      </c>
      <c r="D1864" s="14">
        <v>1</v>
      </c>
      <c r="E1864" s="17">
        <v>3930.41</v>
      </c>
      <c r="F1864" s="16" t="s">
        <v>8</v>
      </c>
      <c r="G1864" s="38" t="str">
        <f>HYPERLINK("http://enext.ua/ЩЭЗО-3 стУ")</f>
        <v>http://enext.ua/ЩЭЗО-3 стУ</v>
      </c>
    </row>
    <row r="1865" spans="2:7" ht="22.5" outlineLevel="7" x14ac:dyDescent="0.2">
      <c r="B1865" s="14" t="s">
        <v>3564</v>
      </c>
      <c r="C1865" s="14" t="s">
        <v>3565</v>
      </c>
      <c r="D1865" s="14">
        <v>1</v>
      </c>
      <c r="E1865" s="17">
        <v>3972.83</v>
      </c>
      <c r="F1865" s="16" t="s">
        <v>8</v>
      </c>
      <c r="G1865" s="38" t="str">
        <f>HYPERLINK("http://enext.ua/ЩЭЗО-4 стУ")</f>
        <v>http://enext.ua/ЩЭЗО-4 стУ</v>
      </c>
    </row>
    <row r="1866" spans="2:7" ht="22.5" outlineLevel="7" x14ac:dyDescent="0.2">
      <c r="B1866" s="14" t="s">
        <v>3566</v>
      </c>
      <c r="C1866" s="14" t="s">
        <v>3567</v>
      </c>
      <c r="D1866" s="14">
        <v>1</v>
      </c>
      <c r="E1866" s="17">
        <v>4481.79</v>
      </c>
      <c r="F1866" s="16" t="s">
        <v>8</v>
      </c>
      <c r="G1866" s="38" t="str">
        <f>HYPERLINK("http://enext.ua/ЩЭЗО-5 стУ")</f>
        <v>http://enext.ua/ЩЭЗО-5 стУ</v>
      </c>
    </row>
    <row r="1867" spans="2:7" ht="22.5" outlineLevel="7" x14ac:dyDescent="0.2">
      <c r="B1867" s="14" t="s">
        <v>3568</v>
      </c>
      <c r="C1867" s="14" t="s">
        <v>3569</v>
      </c>
      <c r="D1867" s="14">
        <v>1</v>
      </c>
      <c r="E1867" s="17">
        <v>4524.22</v>
      </c>
      <c r="F1867" s="16" t="s">
        <v>8</v>
      </c>
      <c r="G1867" s="38" t="str">
        <f>HYPERLINK("http://enext.ua/ЩЭЗО-6 стУ")</f>
        <v>http://enext.ua/ЩЭЗО-6 стУ</v>
      </c>
    </row>
    <row r="1868" spans="2:7" ht="12" outlineLevel="4" x14ac:dyDescent="0.2">
      <c r="B1868" s="12"/>
      <c r="C1868" s="37" t="s">
        <v>3570</v>
      </c>
      <c r="D1868" s="12"/>
      <c r="E1868" s="13"/>
      <c r="F1868" s="13"/>
      <c r="G1868" s="12"/>
    </row>
    <row r="1869" spans="2:7" ht="12" outlineLevel="5" x14ac:dyDescent="0.2">
      <c r="B1869" s="18"/>
      <c r="C1869" s="39" t="s">
        <v>3571</v>
      </c>
      <c r="D1869" s="18"/>
      <c r="E1869" s="19"/>
      <c r="F1869" s="19"/>
      <c r="G1869" s="18"/>
    </row>
    <row r="1870" spans="2:7" ht="24" outlineLevel="6" x14ac:dyDescent="0.2">
      <c r="B1870" s="18"/>
      <c r="C1870" s="39" t="s">
        <v>3572</v>
      </c>
      <c r="D1870" s="18"/>
      <c r="E1870" s="19"/>
      <c r="F1870" s="19"/>
      <c r="G1870" s="18"/>
    </row>
    <row r="1871" spans="2:7" ht="11.25" outlineLevel="7" x14ac:dyDescent="0.2">
      <c r="B1871" s="14" t="s">
        <v>3573</v>
      </c>
      <c r="C1871" s="14" t="s">
        <v>3574</v>
      </c>
      <c r="D1871" s="14">
        <v>1</v>
      </c>
      <c r="E1871" s="17">
        <v>4693.8900000000003</v>
      </c>
      <c r="F1871" s="16" t="s">
        <v>8</v>
      </c>
      <c r="G1871" s="38" t="str">
        <f>HYPERLINK("http://enext.ua/ЩЭ-2ст-01Н")</f>
        <v>http://enext.ua/ЩЭ-2ст-01Н</v>
      </c>
    </row>
    <row r="1872" spans="2:7" ht="11.25" outlineLevel="7" x14ac:dyDescent="0.2">
      <c r="B1872" s="14" t="s">
        <v>3575</v>
      </c>
      <c r="C1872" s="14" t="s">
        <v>3576</v>
      </c>
      <c r="D1872" s="14">
        <v>1</v>
      </c>
      <c r="E1872" s="17">
        <v>4693.8900000000003</v>
      </c>
      <c r="F1872" s="16" t="s">
        <v>8</v>
      </c>
      <c r="G1872" s="38" t="str">
        <f>HYPERLINK("http://enext.ua/ЩЭ-2ст-Н")</f>
        <v>http://enext.ua/ЩЭ-2ст-Н</v>
      </c>
    </row>
    <row r="1873" spans="2:7" ht="11.25" outlineLevel="7" x14ac:dyDescent="0.2">
      <c r="B1873" s="14" t="s">
        <v>3577</v>
      </c>
      <c r="C1873" s="14" t="s">
        <v>3578</v>
      </c>
      <c r="D1873" s="14">
        <v>1</v>
      </c>
      <c r="E1873" s="17">
        <v>4743.3599999999997</v>
      </c>
      <c r="F1873" s="16" t="s">
        <v>8</v>
      </c>
      <c r="G1873" s="38" t="str">
        <f>HYPERLINK("http://enext.ua/ЩЭ-3ст-01Н")</f>
        <v>http://enext.ua/ЩЭ-3ст-01Н</v>
      </c>
    </row>
    <row r="1874" spans="2:7" ht="11.25" outlineLevel="7" x14ac:dyDescent="0.2">
      <c r="B1874" s="14" t="s">
        <v>3579</v>
      </c>
      <c r="C1874" s="14" t="s">
        <v>3580</v>
      </c>
      <c r="D1874" s="14">
        <v>1</v>
      </c>
      <c r="E1874" s="17">
        <v>4743.3599999999997</v>
      </c>
      <c r="F1874" s="16" t="s">
        <v>8</v>
      </c>
      <c r="G1874" s="38" t="str">
        <f>HYPERLINK("http://enext.ua/ЩЭ-3ст-Н")</f>
        <v>http://enext.ua/ЩЭ-3ст-Н</v>
      </c>
    </row>
    <row r="1875" spans="2:7" ht="11.25" outlineLevel="7" x14ac:dyDescent="0.2">
      <c r="B1875" s="14" t="s">
        <v>3581</v>
      </c>
      <c r="C1875" s="14" t="s">
        <v>3582</v>
      </c>
      <c r="D1875" s="14">
        <v>1</v>
      </c>
      <c r="E1875" s="17">
        <v>4806.9799999999996</v>
      </c>
      <c r="F1875" s="16" t="s">
        <v>8</v>
      </c>
      <c r="G1875" s="38" t="str">
        <f>HYPERLINK("http://enext.ua/ЩЭ-4ст-01Н")</f>
        <v>http://enext.ua/ЩЭ-4ст-01Н</v>
      </c>
    </row>
    <row r="1876" spans="2:7" ht="11.25" outlineLevel="7" x14ac:dyDescent="0.2">
      <c r="B1876" s="14" t="s">
        <v>3583</v>
      </c>
      <c r="C1876" s="14" t="s">
        <v>3584</v>
      </c>
      <c r="D1876" s="14">
        <v>1</v>
      </c>
      <c r="E1876" s="17">
        <v>4806.9799999999996</v>
      </c>
      <c r="F1876" s="16" t="s">
        <v>8</v>
      </c>
      <c r="G1876" s="38" t="str">
        <f>HYPERLINK("http://enext.ua/ЩЭ-4ст-Н")</f>
        <v>http://enext.ua/ЩЭ-4ст-Н</v>
      </c>
    </row>
    <row r="1877" spans="2:7" ht="11.25" outlineLevel="7" x14ac:dyDescent="0.2">
      <c r="B1877" s="14" t="s">
        <v>3585</v>
      </c>
      <c r="C1877" s="14" t="s">
        <v>3586</v>
      </c>
      <c r="D1877" s="14">
        <v>1</v>
      </c>
      <c r="E1877" s="17">
        <v>5549.23</v>
      </c>
      <c r="F1877" s="16" t="s">
        <v>8</v>
      </c>
      <c r="G1877" s="38" t="str">
        <f>HYPERLINK("http://enext.ua/ЩЭ-5ст-02Н")</f>
        <v>http://enext.ua/ЩЭ-5ст-02Н</v>
      </c>
    </row>
    <row r="1878" spans="2:7" ht="11.25" outlineLevel="7" x14ac:dyDescent="0.2">
      <c r="B1878" s="14" t="s">
        <v>3587</v>
      </c>
      <c r="C1878" s="14" t="s">
        <v>3588</v>
      </c>
      <c r="D1878" s="14">
        <v>1</v>
      </c>
      <c r="E1878" s="17">
        <v>5641.13</v>
      </c>
      <c r="F1878" s="16" t="s">
        <v>8</v>
      </c>
      <c r="G1878" s="38" t="str">
        <f>HYPERLINK("http://enext.ua/ЩЭ-6ст-02Н")</f>
        <v>http://enext.ua/ЩЭ-6ст-02Н</v>
      </c>
    </row>
    <row r="1879" spans="2:7" ht="24" outlineLevel="6" x14ac:dyDescent="0.2">
      <c r="B1879" s="18"/>
      <c r="C1879" s="39" t="s">
        <v>3589</v>
      </c>
      <c r="D1879" s="18"/>
      <c r="E1879" s="19"/>
      <c r="F1879" s="19"/>
      <c r="G1879" s="18"/>
    </row>
    <row r="1880" spans="2:7" ht="11.25" outlineLevel="7" x14ac:dyDescent="0.2">
      <c r="B1880" s="14" t="s">
        <v>3590</v>
      </c>
      <c r="C1880" s="14" t="s">
        <v>3591</v>
      </c>
      <c r="D1880" s="14">
        <v>1</v>
      </c>
      <c r="E1880" s="17">
        <v>4036.45</v>
      </c>
      <c r="F1880" s="16" t="s">
        <v>8</v>
      </c>
      <c r="G1880" s="38" t="str">
        <f>HYPERLINK("http://enext.ua/ЩЭ-2-01Н")</f>
        <v>http://enext.ua/ЩЭ-2-01Н</v>
      </c>
    </row>
    <row r="1881" spans="2:7" ht="11.25" outlineLevel="7" x14ac:dyDescent="0.2">
      <c r="B1881" s="14" t="s">
        <v>3592</v>
      </c>
      <c r="C1881" s="14" t="s">
        <v>3593</v>
      </c>
      <c r="D1881" s="14">
        <v>1</v>
      </c>
      <c r="E1881" s="17">
        <v>4064.73</v>
      </c>
      <c r="F1881" s="16" t="s">
        <v>8</v>
      </c>
      <c r="G1881" s="38" t="str">
        <f>HYPERLINK("http://enext.ua/ЩЭ-3-01Н")</f>
        <v>http://enext.ua/ЩЭ-3-01Н</v>
      </c>
    </row>
    <row r="1882" spans="2:7" ht="11.25" outlineLevel="7" x14ac:dyDescent="0.2">
      <c r="B1882" s="14" t="s">
        <v>3594</v>
      </c>
      <c r="C1882" s="14" t="s">
        <v>3595</v>
      </c>
      <c r="D1882" s="14">
        <v>1</v>
      </c>
      <c r="E1882" s="17">
        <v>4114.22</v>
      </c>
      <c r="F1882" s="16" t="s">
        <v>8</v>
      </c>
      <c r="G1882" s="38" t="str">
        <f>HYPERLINK("http://enext.ua/ЩЭ-4-01Н")</f>
        <v>http://enext.ua/ЩЭ-4-01Н</v>
      </c>
    </row>
    <row r="1883" spans="2:7" ht="12" outlineLevel="5" x14ac:dyDescent="0.2">
      <c r="B1883" s="18"/>
      <c r="C1883" s="39" t="s">
        <v>3596</v>
      </c>
      <c r="D1883" s="18"/>
      <c r="E1883" s="19"/>
      <c r="F1883" s="19"/>
      <c r="G1883" s="18"/>
    </row>
    <row r="1884" spans="2:7" ht="24" outlineLevel="6" x14ac:dyDescent="0.2">
      <c r="B1884" s="18"/>
      <c r="C1884" s="39" t="s">
        <v>3597</v>
      </c>
      <c r="D1884" s="18"/>
      <c r="E1884" s="19"/>
      <c r="F1884" s="19"/>
      <c r="G1884" s="18"/>
    </row>
    <row r="1885" spans="2:7" ht="22.5" outlineLevel="7" x14ac:dyDescent="0.2">
      <c r="B1885" s="14" t="s">
        <v>3598</v>
      </c>
      <c r="C1885" s="14" t="s">
        <v>3599</v>
      </c>
      <c r="D1885" s="14">
        <v>1</v>
      </c>
      <c r="E1885" s="17">
        <v>5068.54</v>
      </c>
      <c r="F1885" s="16" t="s">
        <v>8</v>
      </c>
      <c r="G1885" s="38" t="str">
        <f>HYPERLINK("http://enext.ua/ЩЭ-2ст 01УН")</f>
        <v>http://enext.ua/ЩЭ-2ст 01УН</v>
      </c>
    </row>
    <row r="1886" spans="2:7" ht="22.5" outlineLevel="7" x14ac:dyDescent="0.2">
      <c r="B1886" s="14" t="s">
        <v>3600</v>
      </c>
      <c r="C1886" s="14" t="s">
        <v>3601</v>
      </c>
      <c r="D1886" s="14">
        <v>1</v>
      </c>
      <c r="E1886" s="17">
        <v>5103.8900000000003</v>
      </c>
      <c r="F1886" s="16" t="s">
        <v>8</v>
      </c>
      <c r="G1886" s="38" t="str">
        <f>HYPERLINK("http://enext.ua/ЩЭ-3ст 01УН")</f>
        <v>http://enext.ua/ЩЭ-3ст 01УН</v>
      </c>
    </row>
    <row r="1887" spans="2:7" ht="22.5" outlineLevel="7" x14ac:dyDescent="0.2">
      <c r="B1887" s="14" t="s">
        <v>3602</v>
      </c>
      <c r="C1887" s="14" t="s">
        <v>3603</v>
      </c>
      <c r="D1887" s="14">
        <v>1</v>
      </c>
      <c r="E1887" s="17">
        <v>5181.6499999999996</v>
      </c>
      <c r="F1887" s="16" t="s">
        <v>8</v>
      </c>
      <c r="G1887" s="38" t="str">
        <f>HYPERLINK("http://enext.ua/ЩЭ-4ст 01УН")</f>
        <v>http://enext.ua/ЩЭ-4ст 01УН</v>
      </c>
    </row>
    <row r="1888" spans="2:7" ht="11.25" outlineLevel="7" x14ac:dyDescent="0.2">
      <c r="B1888" s="14" t="s">
        <v>3604</v>
      </c>
      <c r="C1888" s="14" t="s">
        <v>3605</v>
      </c>
      <c r="D1888" s="14">
        <v>1</v>
      </c>
      <c r="E1888" s="17">
        <v>7083.23</v>
      </c>
      <c r="F1888" s="16" t="s">
        <v>8</v>
      </c>
      <c r="G1888" s="14"/>
    </row>
    <row r="1889" spans="2:7" ht="12" outlineLevel="3" x14ac:dyDescent="0.2">
      <c r="B1889" s="10"/>
      <c r="C1889" s="36" t="s">
        <v>3606</v>
      </c>
      <c r="D1889" s="10"/>
      <c r="E1889" s="11"/>
      <c r="F1889" s="11"/>
      <c r="G1889" s="10"/>
    </row>
    <row r="1890" spans="2:7" ht="11.25" outlineLevel="4" x14ac:dyDescent="0.2">
      <c r="B1890" s="14" t="s">
        <v>3607</v>
      </c>
      <c r="C1890" s="14" t="s">
        <v>3608</v>
      </c>
      <c r="D1890" s="14">
        <v>1</v>
      </c>
      <c r="E1890" s="15">
        <v>376.44</v>
      </c>
      <c r="F1890" s="16" t="s">
        <v>8</v>
      </c>
      <c r="G1890" s="38" t="str">
        <f>HYPERLINK("http://enext.ua/15х15")</f>
        <v>http://enext.ua/15х15</v>
      </c>
    </row>
    <row r="1891" spans="2:7" ht="11.25" outlineLevel="4" x14ac:dyDescent="0.2">
      <c r="B1891" s="14" t="s">
        <v>3609</v>
      </c>
      <c r="C1891" s="14" t="s">
        <v>3610</v>
      </c>
      <c r="D1891" s="14">
        <v>1</v>
      </c>
      <c r="E1891" s="15">
        <v>415.65</v>
      </c>
      <c r="F1891" s="16" t="s">
        <v>8</v>
      </c>
      <c r="G1891" s="38" t="str">
        <f>HYPERLINK("http://enext.ua/15х20")</f>
        <v>http://enext.ua/15х20</v>
      </c>
    </row>
    <row r="1892" spans="2:7" ht="11.25" outlineLevel="4" x14ac:dyDescent="0.2">
      <c r="B1892" s="14" t="s">
        <v>3611</v>
      </c>
      <c r="C1892" s="14" t="s">
        <v>3612</v>
      </c>
      <c r="D1892" s="14">
        <v>1</v>
      </c>
      <c r="E1892" s="15">
        <v>455.71</v>
      </c>
      <c r="F1892" s="16" t="s">
        <v>8</v>
      </c>
      <c r="G1892" s="38" t="str">
        <f>HYPERLINK("http://enext.ua/20х20")</f>
        <v>http://enext.ua/20х20</v>
      </c>
    </row>
    <row r="1893" spans="2:7" ht="11.25" outlineLevel="4" x14ac:dyDescent="0.2">
      <c r="B1893" s="14" t="s">
        <v>3613</v>
      </c>
      <c r="C1893" s="14" t="s">
        <v>3614</v>
      </c>
      <c r="D1893" s="14">
        <v>1</v>
      </c>
      <c r="E1893" s="15">
        <v>650.36</v>
      </c>
      <c r="F1893" s="16" t="s">
        <v>8</v>
      </c>
      <c r="G1893" s="38" t="str">
        <f>HYPERLINK("http://enext.ua/20х25")</f>
        <v>http://enext.ua/20х25</v>
      </c>
    </row>
    <row r="1894" spans="2:7" ht="11.25" outlineLevel="4" x14ac:dyDescent="0.2">
      <c r="B1894" s="14" t="s">
        <v>3615</v>
      </c>
      <c r="C1894" s="14" t="s">
        <v>3616</v>
      </c>
      <c r="D1894" s="14">
        <v>1</v>
      </c>
      <c r="E1894" s="15">
        <v>575.02</v>
      </c>
      <c r="F1894" s="16" t="s">
        <v>8</v>
      </c>
      <c r="G1894" s="38" t="str">
        <f>HYPERLINK("http://enext.ua/25х30")</f>
        <v>http://enext.ua/25х30</v>
      </c>
    </row>
    <row r="1895" spans="2:7" ht="11.25" outlineLevel="4" x14ac:dyDescent="0.2">
      <c r="B1895" s="14" t="s">
        <v>3617</v>
      </c>
      <c r="C1895" s="14" t="s">
        <v>3618</v>
      </c>
      <c r="D1895" s="14">
        <v>1</v>
      </c>
      <c r="E1895" s="15">
        <v>614.24</v>
      </c>
      <c r="F1895" s="16" t="s">
        <v>8</v>
      </c>
      <c r="G1895" s="38" t="str">
        <f>HYPERLINK("http://enext.ua/30х30")</f>
        <v>http://enext.ua/30х30</v>
      </c>
    </row>
    <row r="1896" spans="2:7" ht="11.25" outlineLevel="4" x14ac:dyDescent="0.2">
      <c r="B1896" s="14" t="s">
        <v>3619</v>
      </c>
      <c r="C1896" s="14" t="s">
        <v>3620</v>
      </c>
      <c r="D1896" s="14">
        <v>1</v>
      </c>
      <c r="E1896" s="17">
        <v>1539.36</v>
      </c>
      <c r="F1896" s="16" t="s">
        <v>8</v>
      </c>
      <c r="G1896" s="38" t="str">
        <f>HYPERLINK("http://enext.ua/40х60")</f>
        <v>http://enext.ua/40х60</v>
      </c>
    </row>
    <row r="1897" spans="2:7" ht="11.25" outlineLevel="4" x14ac:dyDescent="0.2">
      <c r="B1897" s="14" t="s">
        <v>3621</v>
      </c>
      <c r="C1897" s="14" t="s">
        <v>3622</v>
      </c>
      <c r="D1897" s="14">
        <v>1</v>
      </c>
      <c r="E1897" s="17">
        <v>1950.53</v>
      </c>
      <c r="F1897" s="16" t="s">
        <v>8</v>
      </c>
      <c r="G1897" s="38" t="str">
        <f>HYPERLINK("http://enext.ua/RN-36")</f>
        <v>http://enext.ua/RN-36</v>
      </c>
    </row>
    <row r="1898" spans="2:7" ht="11.25" outlineLevel="4" x14ac:dyDescent="0.2">
      <c r="B1898" s="14" t="s">
        <v>3623</v>
      </c>
      <c r="C1898" s="14" t="s">
        <v>3624</v>
      </c>
      <c r="D1898" s="14">
        <v>1</v>
      </c>
      <c r="E1898" s="17">
        <v>2909.41</v>
      </c>
      <c r="F1898" s="16" t="s">
        <v>8</v>
      </c>
      <c r="G1898" s="38" t="str">
        <f>HYPERLINK("http://enext.ua/RN-48")</f>
        <v>http://enext.ua/RN-48</v>
      </c>
    </row>
    <row r="1899" spans="2:7" ht="11.25" outlineLevel="4" x14ac:dyDescent="0.2">
      <c r="B1899" s="14" t="s">
        <v>3625</v>
      </c>
      <c r="C1899" s="14" t="s">
        <v>3626</v>
      </c>
      <c r="D1899" s="14">
        <v>1</v>
      </c>
      <c r="E1899" s="15">
        <v>475.03</v>
      </c>
      <c r="F1899" s="16" t="s">
        <v>8</v>
      </c>
      <c r="G1899" s="38" t="str">
        <f>HYPERLINK("http://enext.ua/RN-6-P")</f>
        <v>http://enext.ua/RN-6-P</v>
      </c>
    </row>
    <row r="1900" spans="2:7" ht="22.5" outlineLevel="4" x14ac:dyDescent="0.2">
      <c r="B1900" s="14" t="s">
        <v>3627</v>
      </c>
      <c r="C1900" s="14" t="s">
        <v>3628</v>
      </c>
      <c r="D1900" s="14">
        <v>1</v>
      </c>
      <c r="E1900" s="15">
        <v>558.78</v>
      </c>
      <c r="F1900" s="16" t="s">
        <v>8</v>
      </c>
      <c r="G1900" s="38" t="str">
        <f>HYPERLINK("http://enext.ua/RN-6-P Z")</f>
        <v>http://enext.ua/RN-6-P Z</v>
      </c>
    </row>
    <row r="1901" spans="2:7" ht="22.5" outlineLevel="4" x14ac:dyDescent="0.2">
      <c r="B1901" s="14" t="s">
        <v>3629</v>
      </c>
      <c r="C1901" s="14" t="s">
        <v>3630</v>
      </c>
      <c r="D1901" s="14">
        <v>1</v>
      </c>
      <c r="E1901" s="17">
        <v>3755.14</v>
      </c>
      <c r="F1901" s="16" t="s">
        <v>8</v>
      </c>
      <c r="G1901" s="38" t="str">
        <f>HYPERLINK("http://enext.ua/RNH-36")</f>
        <v>http://enext.ua/RNH-36</v>
      </c>
    </row>
    <row r="1902" spans="2:7" ht="22.5" outlineLevel="4" x14ac:dyDescent="0.2">
      <c r="B1902" s="14" t="s">
        <v>3631</v>
      </c>
      <c r="C1902" s="14" t="s">
        <v>3632</v>
      </c>
      <c r="D1902" s="14">
        <v>1</v>
      </c>
      <c r="E1902" s="15">
        <v>740.84</v>
      </c>
      <c r="F1902" s="16" t="s">
        <v>8</v>
      </c>
      <c r="G1902" s="38" t="str">
        <f>HYPERLINK("http://enext.ua/RP-12-P")</f>
        <v>http://enext.ua/RP-12-P</v>
      </c>
    </row>
    <row r="1903" spans="2:7" ht="22.5" outlineLevel="4" x14ac:dyDescent="0.2">
      <c r="B1903" s="14" t="s">
        <v>3633</v>
      </c>
      <c r="C1903" s="14" t="s">
        <v>3634</v>
      </c>
      <c r="D1903" s="14">
        <v>1</v>
      </c>
      <c r="E1903" s="17">
        <v>2820.21</v>
      </c>
      <c r="F1903" s="16" t="s">
        <v>8</v>
      </c>
      <c r="G1903" s="38" t="str">
        <f>HYPERLINK("http://enext.ua/RP-48")</f>
        <v>http://enext.ua/RP-48</v>
      </c>
    </row>
    <row r="1904" spans="2:7" ht="22.5" outlineLevel="4" x14ac:dyDescent="0.2">
      <c r="B1904" s="14" t="s">
        <v>3635</v>
      </c>
      <c r="C1904" s="14" t="s">
        <v>3636</v>
      </c>
      <c r="D1904" s="14">
        <v>1</v>
      </c>
      <c r="E1904" s="17">
        <v>2628.34</v>
      </c>
      <c r="F1904" s="16" t="s">
        <v>8</v>
      </c>
      <c r="G1904" s="38" t="str">
        <f>HYPERLINK("http://enext.ua/RP-60")</f>
        <v>http://enext.ua/RP-60</v>
      </c>
    </row>
    <row r="1905" spans="2:7" ht="22.5" outlineLevel="4" x14ac:dyDescent="0.2">
      <c r="B1905" s="14" t="s">
        <v>3637</v>
      </c>
      <c r="C1905" s="14" t="s">
        <v>3638</v>
      </c>
      <c r="D1905" s="14">
        <v>1</v>
      </c>
      <c r="E1905" s="15">
        <v>471.95</v>
      </c>
      <c r="F1905" s="16" t="s">
        <v>8</v>
      </c>
      <c r="G1905" s="38" t="str">
        <f>HYPERLINK("http://enext.ua/RP-6-P")</f>
        <v>http://enext.ua/RP-6-P</v>
      </c>
    </row>
    <row r="1906" spans="2:7" ht="22.5" outlineLevel="4" x14ac:dyDescent="0.2">
      <c r="B1906" s="14" t="s">
        <v>3639</v>
      </c>
      <c r="C1906" s="14" t="s">
        <v>3640</v>
      </c>
      <c r="D1906" s="14">
        <v>1</v>
      </c>
      <c r="E1906" s="17">
        <v>1079.74</v>
      </c>
      <c r="F1906" s="16" t="s">
        <v>8</v>
      </c>
      <c r="G1906" s="38" t="str">
        <f>HYPERLINK("http://enext.ua/RP-6-P Z")</f>
        <v>http://enext.ua/RP-6-P Z</v>
      </c>
    </row>
    <row r="1907" spans="2:7" ht="22.5" outlineLevel="4" x14ac:dyDescent="0.2">
      <c r="B1907" s="14" t="s">
        <v>3641</v>
      </c>
      <c r="C1907" s="14" t="s">
        <v>3642</v>
      </c>
      <c r="D1907" s="14">
        <v>1</v>
      </c>
      <c r="E1907" s="15">
        <v>786.77</v>
      </c>
      <c r="F1907" s="16" t="s">
        <v>8</v>
      </c>
      <c r="G1907" s="38" t="str">
        <f>HYPERLINK("http://enext.ua/RU-1-P")</f>
        <v>http://enext.ua/RU-1-P</v>
      </c>
    </row>
    <row r="1908" spans="2:7" ht="22.5" outlineLevel="4" x14ac:dyDescent="0.2">
      <c r="B1908" s="14" t="s">
        <v>3643</v>
      </c>
      <c r="C1908" s="14" t="s">
        <v>3644</v>
      </c>
      <c r="D1908" s="14">
        <v>1</v>
      </c>
      <c r="E1908" s="15">
        <v>899.37</v>
      </c>
      <c r="F1908" s="16" t="s">
        <v>8</v>
      </c>
      <c r="G1908" s="38" t="str">
        <f>HYPERLINK("http://enext.ua/RU-1-P Z")</f>
        <v>http://enext.ua/RU-1-P Z</v>
      </c>
    </row>
    <row r="1909" spans="2:7" ht="22.5" outlineLevel="4" x14ac:dyDescent="0.2">
      <c r="B1909" s="14" t="s">
        <v>3645</v>
      </c>
      <c r="C1909" s="14" t="s">
        <v>3646</v>
      </c>
      <c r="D1909" s="14">
        <v>1</v>
      </c>
      <c r="E1909" s="17">
        <v>1056.78</v>
      </c>
      <c r="F1909" s="16" t="s">
        <v>8</v>
      </c>
      <c r="G1909" s="38" t="str">
        <f>HYPERLINK("http://enext.ua/RU-1-P Z/О")</f>
        <v>http://enext.ua/RU-1-P Z/О</v>
      </c>
    </row>
    <row r="1910" spans="2:7" ht="22.5" outlineLevel="4" x14ac:dyDescent="0.2">
      <c r="B1910" s="14" t="s">
        <v>3647</v>
      </c>
      <c r="C1910" s="14" t="s">
        <v>3648</v>
      </c>
      <c r="D1910" s="14">
        <v>1</v>
      </c>
      <c r="E1910" s="17">
        <v>2067.0500000000002</v>
      </c>
      <c r="F1910" s="16" t="s">
        <v>8</v>
      </c>
      <c r="G1910" s="38" t="str">
        <f>HYPERLINK("http://enext.ua/RU-3 Z")</f>
        <v>http://enext.ua/RU-3 Z</v>
      </c>
    </row>
    <row r="1911" spans="2:7" ht="22.5" outlineLevel="4" x14ac:dyDescent="0.2">
      <c r="B1911" s="14" t="s">
        <v>3649</v>
      </c>
      <c r="C1911" s="14" t="s">
        <v>3650</v>
      </c>
      <c r="D1911" s="14">
        <v>1</v>
      </c>
      <c r="E1911" s="17">
        <v>3556.55</v>
      </c>
      <c r="F1911" s="16" t="s">
        <v>8</v>
      </c>
      <c r="G1911" s="38" t="str">
        <f>HYPERLINK("http://enext.ua/RU-36-P-Z/O")</f>
        <v>http://enext.ua/RU-36-P-Z/O</v>
      </c>
    </row>
    <row r="1912" spans="2:7" ht="22.5" outlineLevel="4" x14ac:dyDescent="0.2">
      <c r="B1912" s="14" t="s">
        <v>3651</v>
      </c>
      <c r="C1912" s="14" t="s">
        <v>3652</v>
      </c>
      <c r="D1912" s="14">
        <v>1</v>
      </c>
      <c r="E1912" s="17">
        <v>2418</v>
      </c>
      <c r="F1912" s="16" t="s">
        <v>8</v>
      </c>
      <c r="G1912" s="38" t="str">
        <f>HYPERLINK("http://enext.ua/RU-3-Z/О")</f>
        <v>http://enext.ua/RU-3-Z/О</v>
      </c>
    </row>
    <row r="1913" spans="2:7" ht="22.5" outlineLevel="4" x14ac:dyDescent="0.2">
      <c r="B1913" s="14" t="s">
        <v>3653</v>
      </c>
      <c r="C1913" s="14" t="s">
        <v>3654</v>
      </c>
      <c r="D1913" s="14">
        <v>1</v>
      </c>
      <c r="E1913" s="15">
        <v>703.3</v>
      </c>
      <c r="F1913" s="16" t="s">
        <v>8</v>
      </c>
      <c r="G1913" s="38" t="str">
        <f>HYPERLINK("http://enext.ua/RW-1-P")</f>
        <v>http://enext.ua/RW-1-P</v>
      </c>
    </row>
    <row r="1914" spans="2:7" ht="22.5" outlineLevel="4" x14ac:dyDescent="0.2">
      <c r="B1914" s="14" t="s">
        <v>3655</v>
      </c>
      <c r="C1914" s="14" t="s">
        <v>3656</v>
      </c>
      <c r="D1914" s="14">
        <v>1</v>
      </c>
      <c r="E1914" s="15">
        <v>837.19</v>
      </c>
      <c r="F1914" s="16" t="s">
        <v>8</v>
      </c>
      <c r="G1914" s="38" t="str">
        <f>HYPERLINK("http://enext.ua/RW-1-P Z")</f>
        <v>http://enext.ua/RW-1-P Z</v>
      </c>
    </row>
    <row r="1915" spans="2:7" ht="22.5" outlineLevel="4" x14ac:dyDescent="0.2">
      <c r="B1915" s="14" t="s">
        <v>3657</v>
      </c>
      <c r="C1915" s="14" t="s">
        <v>3658</v>
      </c>
      <c r="D1915" s="14">
        <v>1</v>
      </c>
      <c r="E1915" s="17">
        <v>1532.36</v>
      </c>
      <c r="F1915" s="16" t="s">
        <v>8</v>
      </c>
      <c r="G1915" s="38" t="str">
        <f>HYPERLINK("http://enext.ua/RW-1-P Z/О")</f>
        <v>http://enext.ua/RW-1-P Z/О</v>
      </c>
    </row>
    <row r="1916" spans="2:7" ht="22.5" outlineLevel="4" x14ac:dyDescent="0.2">
      <c r="B1916" s="14" t="s">
        <v>3659</v>
      </c>
      <c r="C1916" s="14" t="s">
        <v>3660</v>
      </c>
      <c r="D1916" s="14">
        <v>1</v>
      </c>
      <c r="E1916" s="17">
        <v>1207.46</v>
      </c>
      <c r="F1916" s="16" t="s">
        <v>8</v>
      </c>
      <c r="G1916" s="38" t="str">
        <f>HYPERLINK("http://enext.ua/RW-3")</f>
        <v>http://enext.ua/RW-3</v>
      </c>
    </row>
    <row r="1917" spans="2:7" ht="11.25" outlineLevel="4" x14ac:dyDescent="0.2">
      <c r="B1917" s="14" t="s">
        <v>3661</v>
      </c>
      <c r="C1917" s="14" t="s">
        <v>3662</v>
      </c>
      <c r="D1917" s="14">
        <v>1</v>
      </c>
      <c r="E1917" s="15">
        <v>29.41</v>
      </c>
      <c r="F1917" s="16" t="s">
        <v>8</v>
      </c>
      <c r="G1917" s="38" t="str">
        <f>HYPERLINK("http://enext.ua/43-049-5")</f>
        <v>http://enext.ua/43-049-5</v>
      </c>
    </row>
    <row r="1918" spans="2:7" ht="12" outlineLevel="2" x14ac:dyDescent="0.2">
      <c r="B1918" s="8"/>
      <c r="C1918" s="35" t="s">
        <v>3663</v>
      </c>
      <c r="D1918" s="8"/>
      <c r="E1918" s="9"/>
      <c r="F1918" s="9"/>
      <c r="G1918" s="8"/>
    </row>
    <row r="1919" spans="2:7" ht="12" outlineLevel="3" x14ac:dyDescent="0.2">
      <c r="B1919" s="10"/>
      <c r="C1919" s="36" t="s">
        <v>3664</v>
      </c>
      <c r="D1919" s="10"/>
      <c r="E1919" s="11"/>
      <c r="F1919" s="11"/>
      <c r="G1919" s="10"/>
    </row>
    <row r="1920" spans="2:7" ht="11.25" outlineLevel="4" x14ac:dyDescent="0.2">
      <c r="B1920" s="14" t="s">
        <v>3665</v>
      </c>
      <c r="C1920" s="14" t="s">
        <v>3666</v>
      </c>
      <c r="D1920" s="14">
        <v>1</v>
      </c>
      <c r="E1920" s="17">
        <v>2743.51</v>
      </c>
      <c r="F1920" s="16" t="s">
        <v>8</v>
      </c>
      <c r="G1920" s="38" t="str">
        <f>HYPERLINK("http://enext.ua/s0101019")</f>
        <v>http://enext.ua/s0101019</v>
      </c>
    </row>
    <row r="1921" spans="2:7" ht="11.25" outlineLevel="4" x14ac:dyDescent="0.2">
      <c r="B1921" s="14" t="s">
        <v>3667</v>
      </c>
      <c r="C1921" s="14" t="s">
        <v>3668</v>
      </c>
      <c r="D1921" s="14">
        <v>1</v>
      </c>
      <c r="E1921" s="17">
        <v>2658.83</v>
      </c>
      <c r="F1921" s="16" t="s">
        <v>8</v>
      </c>
      <c r="G1921" s="38" t="str">
        <f>HYPERLINK("http://enext.ua/s0101008")</f>
        <v>http://enext.ua/s0101008</v>
      </c>
    </row>
    <row r="1922" spans="2:7" ht="11.25" outlineLevel="4" x14ac:dyDescent="0.2">
      <c r="B1922" s="14" t="s">
        <v>3669</v>
      </c>
      <c r="C1922" s="14" t="s">
        <v>3670</v>
      </c>
      <c r="D1922" s="14">
        <v>1</v>
      </c>
      <c r="E1922" s="17">
        <v>2747.32</v>
      </c>
      <c r="F1922" s="16" t="s">
        <v>8</v>
      </c>
      <c r="G1922" s="38" t="str">
        <f>HYPERLINK("http://enext.ua/s0101013")</f>
        <v>http://enext.ua/s0101013</v>
      </c>
    </row>
    <row r="1923" spans="2:7" ht="11.25" outlineLevel="4" x14ac:dyDescent="0.2">
      <c r="B1923" s="14" t="s">
        <v>3671</v>
      </c>
      <c r="C1923" s="14" t="s">
        <v>3672</v>
      </c>
      <c r="D1923" s="14">
        <v>1</v>
      </c>
      <c r="E1923" s="17">
        <v>4050.02</v>
      </c>
      <c r="F1923" s="16" t="s">
        <v>8</v>
      </c>
      <c r="G1923" s="38" t="str">
        <f>HYPERLINK("http://enext.ua/s0101009")</f>
        <v>http://enext.ua/s0101009</v>
      </c>
    </row>
    <row r="1924" spans="2:7" ht="11.25" outlineLevel="4" x14ac:dyDescent="0.2">
      <c r="B1924" s="14" t="s">
        <v>3673</v>
      </c>
      <c r="C1924" s="14" t="s">
        <v>3674</v>
      </c>
      <c r="D1924" s="14">
        <v>1</v>
      </c>
      <c r="E1924" s="17">
        <v>4153.2700000000004</v>
      </c>
      <c r="F1924" s="16" t="s">
        <v>8</v>
      </c>
      <c r="G1924" s="38" t="str">
        <f>HYPERLINK("http://enext.ua/s0101014")</f>
        <v>http://enext.ua/s0101014</v>
      </c>
    </row>
    <row r="1925" spans="2:7" ht="11.25" outlineLevel="4" x14ac:dyDescent="0.2">
      <c r="B1925" s="14" t="s">
        <v>3675</v>
      </c>
      <c r="C1925" s="14" t="s">
        <v>3676</v>
      </c>
      <c r="D1925" s="14">
        <v>1</v>
      </c>
      <c r="E1925" s="17">
        <v>5028.8500000000004</v>
      </c>
      <c r="F1925" s="16" t="s">
        <v>8</v>
      </c>
      <c r="G1925" s="38" t="str">
        <f>HYPERLINK("http://enext.ua/s0101010")</f>
        <v>http://enext.ua/s0101010</v>
      </c>
    </row>
    <row r="1926" spans="2:7" ht="11.25" outlineLevel="4" x14ac:dyDescent="0.2">
      <c r="B1926" s="14" t="s">
        <v>3677</v>
      </c>
      <c r="C1926" s="14" t="s">
        <v>3678</v>
      </c>
      <c r="D1926" s="14">
        <v>1</v>
      </c>
      <c r="E1926" s="17">
        <v>5050.97</v>
      </c>
      <c r="F1926" s="16" t="s">
        <v>8</v>
      </c>
      <c r="G1926" s="38" t="str">
        <f>HYPERLINK("http://enext.ua/s0101015")</f>
        <v>http://enext.ua/s0101015</v>
      </c>
    </row>
    <row r="1927" spans="2:7" ht="11.25" outlineLevel="4" x14ac:dyDescent="0.2">
      <c r="B1927" s="14" t="s">
        <v>3679</v>
      </c>
      <c r="C1927" s="14" t="s">
        <v>3680</v>
      </c>
      <c r="D1927" s="14">
        <v>1</v>
      </c>
      <c r="E1927" s="17">
        <v>9628.67</v>
      </c>
      <c r="F1927" s="16" t="s">
        <v>8</v>
      </c>
      <c r="G1927" s="38" t="str">
        <f>HYPERLINK("http://enext.ua/s0101011")</f>
        <v>http://enext.ua/s0101011</v>
      </c>
    </row>
    <row r="1928" spans="2:7" ht="11.25" outlineLevel="4" x14ac:dyDescent="0.2">
      <c r="B1928" s="14" t="s">
        <v>3681</v>
      </c>
      <c r="C1928" s="14" t="s">
        <v>3682</v>
      </c>
      <c r="D1928" s="14">
        <v>1</v>
      </c>
      <c r="E1928" s="17">
        <v>9628.67</v>
      </c>
      <c r="F1928" s="16" t="s">
        <v>8</v>
      </c>
      <c r="G1928" s="38" t="str">
        <f>HYPERLINK("http://enext.ua/s0101016")</f>
        <v>http://enext.ua/s0101016</v>
      </c>
    </row>
    <row r="1929" spans="2:7" ht="11.25" outlineLevel="4" x14ac:dyDescent="0.2">
      <c r="B1929" s="14" t="s">
        <v>3683</v>
      </c>
      <c r="C1929" s="14" t="s">
        <v>3684</v>
      </c>
      <c r="D1929" s="14">
        <v>1</v>
      </c>
      <c r="E1929" s="17">
        <v>1943.19</v>
      </c>
      <c r="F1929" s="16" t="s">
        <v>8</v>
      </c>
      <c r="G1929" s="14"/>
    </row>
    <row r="1930" spans="2:7" ht="11.25" outlineLevel="4" x14ac:dyDescent="0.2">
      <c r="B1930" s="14" t="s">
        <v>3685</v>
      </c>
      <c r="C1930" s="14" t="s">
        <v>3686</v>
      </c>
      <c r="D1930" s="14">
        <v>1</v>
      </c>
      <c r="E1930" s="17">
        <v>2724.87</v>
      </c>
      <c r="F1930" s="16" t="s">
        <v>8</v>
      </c>
      <c r="G1930" s="14"/>
    </row>
    <row r="1931" spans="2:7" ht="11.25" outlineLevel="4" x14ac:dyDescent="0.2">
      <c r="B1931" s="14" t="s">
        <v>3687</v>
      </c>
      <c r="C1931" s="14" t="s">
        <v>3688</v>
      </c>
      <c r="D1931" s="14">
        <v>1</v>
      </c>
      <c r="E1931" s="17">
        <v>2857.61</v>
      </c>
      <c r="F1931" s="16" t="s">
        <v>8</v>
      </c>
      <c r="G1931" s="14"/>
    </row>
    <row r="1932" spans="2:7" ht="11.25" outlineLevel="4" x14ac:dyDescent="0.2">
      <c r="B1932" s="14" t="s">
        <v>3689</v>
      </c>
      <c r="C1932" s="14" t="s">
        <v>3690</v>
      </c>
      <c r="D1932" s="14">
        <v>1</v>
      </c>
      <c r="E1932" s="17">
        <v>2320.7800000000002</v>
      </c>
      <c r="F1932" s="16" t="s">
        <v>8</v>
      </c>
      <c r="G1932" s="14"/>
    </row>
    <row r="1933" spans="2:7" ht="11.25" outlineLevel="4" x14ac:dyDescent="0.2">
      <c r="B1933" s="14" t="s">
        <v>3691</v>
      </c>
      <c r="C1933" s="14" t="s">
        <v>3692</v>
      </c>
      <c r="D1933" s="14">
        <v>1</v>
      </c>
      <c r="E1933" s="17">
        <v>2324.6</v>
      </c>
      <c r="F1933" s="16" t="s">
        <v>8</v>
      </c>
      <c r="G1933" s="38" t="str">
        <f>HYPERLINK("http://enext.ua/s0101001")</f>
        <v>http://enext.ua/s0101001</v>
      </c>
    </row>
    <row r="1934" spans="2:7" ht="11.25" outlineLevel="4" x14ac:dyDescent="0.2">
      <c r="B1934" s="14" t="s">
        <v>3693</v>
      </c>
      <c r="C1934" s="14" t="s">
        <v>3694</v>
      </c>
      <c r="D1934" s="14">
        <v>1</v>
      </c>
      <c r="E1934" s="17">
        <v>2435.21</v>
      </c>
      <c r="F1934" s="16" t="s">
        <v>8</v>
      </c>
      <c r="G1934" s="38" t="str">
        <f>HYPERLINK("http://enext.ua/s0101005")</f>
        <v>http://enext.ua/s0101005</v>
      </c>
    </row>
    <row r="1935" spans="2:7" ht="11.25" outlineLevel="4" x14ac:dyDescent="0.2">
      <c r="B1935" s="14" t="s">
        <v>3695</v>
      </c>
      <c r="C1935" s="14" t="s">
        <v>3696</v>
      </c>
      <c r="D1935" s="14">
        <v>1</v>
      </c>
      <c r="E1935" s="17">
        <v>3599.93</v>
      </c>
      <c r="F1935" s="16" t="s">
        <v>8</v>
      </c>
      <c r="G1935" s="38" t="str">
        <f>HYPERLINK("http://enext.ua/s0101017")</f>
        <v>http://enext.ua/s0101017</v>
      </c>
    </row>
    <row r="1936" spans="2:7" ht="11.25" outlineLevel="4" x14ac:dyDescent="0.2">
      <c r="B1936" s="14" t="s">
        <v>3697</v>
      </c>
      <c r="C1936" s="14" t="s">
        <v>3698</v>
      </c>
      <c r="D1936" s="14">
        <v>1</v>
      </c>
      <c r="E1936" s="17">
        <v>3596.12</v>
      </c>
      <c r="F1936" s="16" t="s">
        <v>8</v>
      </c>
      <c r="G1936" s="38" t="str">
        <f>HYPERLINK("http://enext.ua/s0101002")</f>
        <v>http://enext.ua/s0101002</v>
      </c>
    </row>
    <row r="1937" spans="2:7" ht="11.25" outlineLevel="4" x14ac:dyDescent="0.2">
      <c r="B1937" s="14" t="s">
        <v>3699</v>
      </c>
      <c r="C1937" s="14" t="s">
        <v>3700</v>
      </c>
      <c r="D1937" s="14">
        <v>1</v>
      </c>
      <c r="E1937" s="17">
        <v>3728.86</v>
      </c>
      <c r="F1937" s="16" t="s">
        <v>8</v>
      </c>
      <c r="G1937" s="38" t="str">
        <f>HYPERLINK("http://enext.ua/s0101006")</f>
        <v>http://enext.ua/s0101006</v>
      </c>
    </row>
    <row r="1938" spans="2:7" ht="11.25" outlineLevel="4" x14ac:dyDescent="0.2">
      <c r="B1938" s="14" t="s">
        <v>3701</v>
      </c>
      <c r="C1938" s="14" t="s">
        <v>3702</v>
      </c>
      <c r="D1938" s="14">
        <v>1</v>
      </c>
      <c r="E1938" s="17">
        <v>4821.5600000000004</v>
      </c>
      <c r="F1938" s="16" t="s">
        <v>8</v>
      </c>
      <c r="G1938" s="14"/>
    </row>
    <row r="1939" spans="2:7" ht="11.25" outlineLevel="4" x14ac:dyDescent="0.2">
      <c r="B1939" s="14" t="s">
        <v>3703</v>
      </c>
      <c r="C1939" s="14" t="s">
        <v>3704</v>
      </c>
      <c r="D1939" s="14">
        <v>1</v>
      </c>
      <c r="E1939" s="17">
        <v>8665.48</v>
      </c>
      <c r="F1939" s="16" t="s">
        <v>8</v>
      </c>
      <c r="G1939" s="14"/>
    </row>
    <row r="1940" spans="2:7" ht="11.25" outlineLevel="4" x14ac:dyDescent="0.2">
      <c r="B1940" s="14" t="s">
        <v>3705</v>
      </c>
      <c r="C1940" s="14" t="s">
        <v>3706</v>
      </c>
      <c r="D1940" s="14">
        <v>1</v>
      </c>
      <c r="E1940" s="17">
        <v>4701.49</v>
      </c>
      <c r="F1940" s="16" t="s">
        <v>8</v>
      </c>
      <c r="G1940" s="14"/>
    </row>
    <row r="1941" spans="2:7" ht="11.25" outlineLevel="4" x14ac:dyDescent="0.2">
      <c r="B1941" s="14" t="s">
        <v>3707</v>
      </c>
      <c r="C1941" s="14" t="s">
        <v>3708</v>
      </c>
      <c r="D1941" s="14">
        <v>1</v>
      </c>
      <c r="E1941" s="17">
        <v>4436.55</v>
      </c>
      <c r="F1941" s="16" t="s">
        <v>8</v>
      </c>
      <c r="G1941" s="38" t="str">
        <f>HYPERLINK("http://enext.ua/s0101003")</f>
        <v>http://enext.ua/s0101003</v>
      </c>
    </row>
    <row r="1942" spans="2:7" ht="11.25" outlineLevel="4" x14ac:dyDescent="0.2">
      <c r="B1942" s="14" t="s">
        <v>3709</v>
      </c>
      <c r="C1942" s="14" t="s">
        <v>3710</v>
      </c>
      <c r="D1942" s="14">
        <v>1</v>
      </c>
      <c r="E1942" s="17">
        <v>4488.17</v>
      </c>
      <c r="F1942" s="16" t="s">
        <v>8</v>
      </c>
      <c r="G1942" s="38" t="str">
        <f>HYPERLINK("http://enext.ua/s0101007")</f>
        <v>http://enext.ua/s0101007</v>
      </c>
    </row>
    <row r="1943" spans="2:7" ht="11.25" outlineLevel="4" x14ac:dyDescent="0.2">
      <c r="B1943" s="14" t="s">
        <v>3711</v>
      </c>
      <c r="C1943" s="14" t="s">
        <v>3712</v>
      </c>
      <c r="D1943" s="14">
        <v>1</v>
      </c>
      <c r="E1943" s="17">
        <v>9239.2099999999991</v>
      </c>
      <c r="F1943" s="16" t="s">
        <v>8</v>
      </c>
      <c r="G1943" s="14"/>
    </row>
    <row r="1944" spans="2:7" ht="11.25" outlineLevel="4" x14ac:dyDescent="0.2">
      <c r="B1944" s="14" t="s">
        <v>3713</v>
      </c>
      <c r="C1944" s="14" t="s">
        <v>3714</v>
      </c>
      <c r="D1944" s="14">
        <v>1</v>
      </c>
      <c r="E1944" s="17">
        <v>8621.65</v>
      </c>
      <c r="F1944" s="16" t="s">
        <v>8</v>
      </c>
      <c r="G1944" s="38" t="str">
        <f>HYPERLINK("http://enext.ua/s0101012")</f>
        <v>http://enext.ua/s0101012</v>
      </c>
    </row>
    <row r="1945" spans="2:7" ht="11.25" outlineLevel="4" x14ac:dyDescent="0.2">
      <c r="B1945" s="14" t="s">
        <v>3715</v>
      </c>
      <c r="C1945" s="14" t="s">
        <v>3716</v>
      </c>
      <c r="D1945" s="14">
        <v>1</v>
      </c>
      <c r="E1945" s="17">
        <v>8621.65</v>
      </c>
      <c r="F1945" s="16" t="s">
        <v>8</v>
      </c>
      <c r="G1945" s="38" t="str">
        <f>HYPERLINK("http://enext.ua/s0101004")</f>
        <v>http://enext.ua/s0101004</v>
      </c>
    </row>
    <row r="1946" spans="2:7" ht="12" outlineLevel="3" x14ac:dyDescent="0.2">
      <c r="B1946" s="10"/>
      <c r="C1946" s="36" t="s">
        <v>3717</v>
      </c>
      <c r="D1946" s="10"/>
      <c r="E1946" s="11"/>
      <c r="F1946" s="11"/>
      <c r="G1946" s="10"/>
    </row>
    <row r="1947" spans="2:7" ht="12" outlineLevel="4" x14ac:dyDescent="0.2">
      <c r="B1947" s="12"/>
      <c r="C1947" s="37" t="s">
        <v>3718</v>
      </c>
      <c r="D1947" s="12"/>
      <c r="E1947" s="13"/>
      <c r="F1947" s="13"/>
      <c r="G1947" s="12"/>
    </row>
    <row r="1948" spans="2:7" ht="11.25" outlineLevel="5" x14ac:dyDescent="0.2">
      <c r="B1948" s="14" t="s">
        <v>3719</v>
      </c>
      <c r="C1948" s="14" t="s">
        <v>3720</v>
      </c>
      <c r="D1948" s="14">
        <v>1</v>
      </c>
      <c r="E1948" s="17">
        <v>2428</v>
      </c>
      <c r="F1948" s="16" t="s">
        <v>8</v>
      </c>
      <c r="G1948" s="38" t="str">
        <f>HYPERLINK("http://enext.ua/s0102001")</f>
        <v>http://enext.ua/s0102001</v>
      </c>
    </row>
    <row r="1949" spans="2:7" ht="11.25" outlineLevel="5" x14ac:dyDescent="0.2">
      <c r="B1949" s="14" t="s">
        <v>3721</v>
      </c>
      <c r="C1949" s="14" t="s">
        <v>3722</v>
      </c>
      <c r="D1949" s="14">
        <v>1</v>
      </c>
      <c r="E1949" s="17">
        <v>2705.43</v>
      </c>
      <c r="F1949" s="16" t="s">
        <v>8</v>
      </c>
      <c r="G1949" s="38" t="str">
        <f>HYPERLINK("http://enext.ua/s0102002")</f>
        <v>http://enext.ua/s0102002</v>
      </c>
    </row>
    <row r="1950" spans="2:7" ht="11.25" outlineLevel="5" x14ac:dyDescent="0.2">
      <c r="B1950" s="14" t="s">
        <v>3723</v>
      </c>
      <c r="C1950" s="14" t="s">
        <v>3724</v>
      </c>
      <c r="D1950" s="14">
        <v>1</v>
      </c>
      <c r="E1950" s="17">
        <v>1919.01</v>
      </c>
      <c r="F1950" s="16" t="s">
        <v>8</v>
      </c>
      <c r="G1950" s="14"/>
    </row>
    <row r="1951" spans="2:7" ht="11.25" outlineLevel="5" x14ac:dyDescent="0.2">
      <c r="B1951" s="14" t="s">
        <v>3725</v>
      </c>
      <c r="C1951" s="14" t="s">
        <v>3726</v>
      </c>
      <c r="D1951" s="14">
        <v>1</v>
      </c>
      <c r="E1951" s="17">
        <v>2435.42</v>
      </c>
      <c r="F1951" s="16" t="s">
        <v>8</v>
      </c>
      <c r="G1951" s="38" t="str">
        <f>HYPERLINK("http://enext.ua/s0102003")</f>
        <v>http://enext.ua/s0102003</v>
      </c>
    </row>
    <row r="1952" spans="2:7" ht="11.25" outlineLevel="5" x14ac:dyDescent="0.2">
      <c r="B1952" s="14" t="s">
        <v>3727</v>
      </c>
      <c r="C1952" s="14" t="s">
        <v>3728</v>
      </c>
      <c r="D1952" s="14">
        <v>1</v>
      </c>
      <c r="E1952" s="17">
        <v>2719.07</v>
      </c>
      <c r="F1952" s="16" t="s">
        <v>8</v>
      </c>
      <c r="G1952" s="38" t="str">
        <f>HYPERLINK("http://enext.ua/s0102004")</f>
        <v>http://enext.ua/s0102004</v>
      </c>
    </row>
    <row r="1953" spans="2:7" ht="11.25" outlineLevel="5" x14ac:dyDescent="0.2">
      <c r="B1953" s="14" t="s">
        <v>3729</v>
      </c>
      <c r="C1953" s="14" t="s">
        <v>3730</v>
      </c>
      <c r="D1953" s="14">
        <v>1</v>
      </c>
      <c r="E1953" s="17">
        <v>1954.7</v>
      </c>
      <c r="F1953" s="16" t="s">
        <v>8</v>
      </c>
      <c r="G1953" s="14"/>
    </row>
    <row r="1954" spans="2:7" ht="11.25" outlineLevel="5" x14ac:dyDescent="0.2">
      <c r="B1954" s="14" t="s">
        <v>3731</v>
      </c>
      <c r="C1954" s="14" t="s">
        <v>3732</v>
      </c>
      <c r="D1954" s="14">
        <v>1</v>
      </c>
      <c r="E1954" s="17">
        <v>2471.64</v>
      </c>
      <c r="F1954" s="16" t="s">
        <v>8</v>
      </c>
      <c r="G1954" s="38" t="str">
        <f>HYPERLINK("http://enext.ua/s0102005")</f>
        <v>http://enext.ua/s0102005</v>
      </c>
    </row>
    <row r="1955" spans="2:7" ht="11.25" outlineLevel="5" x14ac:dyDescent="0.2">
      <c r="B1955" s="14" t="s">
        <v>3733</v>
      </c>
      <c r="C1955" s="14" t="s">
        <v>3734</v>
      </c>
      <c r="D1955" s="14">
        <v>1</v>
      </c>
      <c r="E1955" s="17">
        <v>2755.29</v>
      </c>
      <c r="F1955" s="16" t="s">
        <v>8</v>
      </c>
      <c r="G1955" s="38" t="str">
        <f>HYPERLINK("http://enext.ua/s0102006")</f>
        <v>http://enext.ua/s0102006</v>
      </c>
    </row>
    <row r="1956" spans="2:7" ht="11.25" outlineLevel="5" x14ac:dyDescent="0.2">
      <c r="B1956" s="14" t="s">
        <v>3735</v>
      </c>
      <c r="C1956" s="14" t="s">
        <v>3736</v>
      </c>
      <c r="D1956" s="14">
        <v>1</v>
      </c>
      <c r="E1956" s="17">
        <v>1969.72</v>
      </c>
      <c r="F1956" s="16" t="s">
        <v>8</v>
      </c>
      <c r="G1956" s="14"/>
    </row>
    <row r="1957" spans="2:7" ht="11.25" outlineLevel="5" x14ac:dyDescent="0.2">
      <c r="B1957" s="14" t="s">
        <v>3737</v>
      </c>
      <c r="C1957" s="14" t="s">
        <v>3738</v>
      </c>
      <c r="D1957" s="14">
        <v>1</v>
      </c>
      <c r="E1957" s="17">
        <v>2399.38</v>
      </c>
      <c r="F1957" s="16" t="s">
        <v>8</v>
      </c>
      <c r="G1957" s="38" t="str">
        <f>HYPERLINK("http://enext.ua/s0102007")</f>
        <v>http://enext.ua/s0102007</v>
      </c>
    </row>
    <row r="1958" spans="2:7" ht="11.25" outlineLevel="5" x14ac:dyDescent="0.2">
      <c r="B1958" s="14" t="s">
        <v>3739</v>
      </c>
      <c r="C1958" s="14" t="s">
        <v>3740</v>
      </c>
      <c r="D1958" s="14">
        <v>1</v>
      </c>
      <c r="E1958" s="17">
        <v>2683.02</v>
      </c>
      <c r="F1958" s="16" t="s">
        <v>8</v>
      </c>
      <c r="G1958" s="38" t="str">
        <f>HYPERLINK("http://enext.ua/s0102008")</f>
        <v>http://enext.ua/s0102008</v>
      </c>
    </row>
    <row r="1959" spans="2:7" ht="11.25" outlineLevel="5" x14ac:dyDescent="0.2">
      <c r="B1959" s="14" t="s">
        <v>3741</v>
      </c>
      <c r="C1959" s="14" t="s">
        <v>3742</v>
      </c>
      <c r="D1959" s="14">
        <v>1</v>
      </c>
      <c r="E1959" s="17">
        <v>1961.07</v>
      </c>
      <c r="F1959" s="16" t="s">
        <v>8</v>
      </c>
      <c r="G1959" s="14"/>
    </row>
    <row r="1960" spans="2:7" ht="11.25" outlineLevel="5" x14ac:dyDescent="0.2">
      <c r="B1960" s="14" t="s">
        <v>3743</v>
      </c>
      <c r="C1960" s="14" t="s">
        <v>3744</v>
      </c>
      <c r="D1960" s="14">
        <v>1</v>
      </c>
      <c r="E1960" s="17">
        <v>2483.34</v>
      </c>
      <c r="F1960" s="16" t="s">
        <v>8</v>
      </c>
      <c r="G1960" s="14"/>
    </row>
    <row r="1961" spans="2:7" ht="12" outlineLevel="4" x14ac:dyDescent="0.2">
      <c r="B1961" s="12"/>
      <c r="C1961" s="37" t="s">
        <v>3745</v>
      </c>
      <c r="D1961" s="12"/>
      <c r="E1961" s="13"/>
      <c r="F1961" s="13"/>
      <c r="G1961" s="12"/>
    </row>
    <row r="1962" spans="2:7" ht="11.25" outlineLevel="5" x14ac:dyDescent="0.2">
      <c r="B1962" s="14" t="s">
        <v>3746</v>
      </c>
      <c r="C1962" s="14" t="s">
        <v>3747</v>
      </c>
      <c r="D1962" s="14">
        <v>1</v>
      </c>
      <c r="E1962" s="17">
        <v>2987.81</v>
      </c>
      <c r="F1962" s="16" t="s">
        <v>8</v>
      </c>
      <c r="G1962" s="38" t="str">
        <f>HYPERLINK("http://enext.ua/s0102009")</f>
        <v>http://enext.ua/s0102009</v>
      </c>
    </row>
    <row r="1963" spans="2:7" ht="11.25" outlineLevel="5" x14ac:dyDescent="0.2">
      <c r="B1963" s="14" t="s">
        <v>3748</v>
      </c>
      <c r="C1963" s="14" t="s">
        <v>3749</v>
      </c>
      <c r="D1963" s="14">
        <v>1</v>
      </c>
      <c r="E1963" s="17">
        <v>3271.46</v>
      </c>
      <c r="F1963" s="16" t="s">
        <v>8</v>
      </c>
      <c r="G1963" s="38" t="str">
        <f>HYPERLINK("http://enext.ua/s0102010")</f>
        <v>http://enext.ua/s0102010</v>
      </c>
    </row>
    <row r="1964" spans="2:7" ht="11.25" outlineLevel="5" x14ac:dyDescent="0.2">
      <c r="B1964" s="14" t="s">
        <v>3750</v>
      </c>
      <c r="C1964" s="14" t="s">
        <v>3751</v>
      </c>
      <c r="D1964" s="14">
        <v>1</v>
      </c>
      <c r="E1964" s="17">
        <v>2330.36</v>
      </c>
      <c r="F1964" s="16" t="s">
        <v>8</v>
      </c>
      <c r="G1964" s="14"/>
    </row>
    <row r="1965" spans="2:7" ht="11.25" outlineLevel="5" x14ac:dyDescent="0.2">
      <c r="B1965" s="14" t="s">
        <v>3752</v>
      </c>
      <c r="C1965" s="14" t="s">
        <v>3753</v>
      </c>
      <c r="D1965" s="14">
        <v>1</v>
      </c>
      <c r="E1965" s="17">
        <v>2881.16</v>
      </c>
      <c r="F1965" s="16" t="s">
        <v>8</v>
      </c>
      <c r="G1965" s="38" t="str">
        <f>HYPERLINK("http://enext.ua/s0102011")</f>
        <v>http://enext.ua/s0102011</v>
      </c>
    </row>
    <row r="1966" spans="2:7" ht="11.25" outlineLevel="5" x14ac:dyDescent="0.2">
      <c r="B1966" s="14" t="s">
        <v>3754</v>
      </c>
      <c r="C1966" s="14" t="s">
        <v>3755</v>
      </c>
      <c r="D1966" s="14">
        <v>1</v>
      </c>
      <c r="E1966" s="17">
        <v>3164.81</v>
      </c>
      <c r="F1966" s="16" t="s">
        <v>8</v>
      </c>
      <c r="G1966" s="38" t="str">
        <f>HYPERLINK("http://enext.ua/s0102012")</f>
        <v>http://enext.ua/s0102012</v>
      </c>
    </row>
    <row r="1967" spans="2:7" ht="11.25" outlineLevel="5" x14ac:dyDescent="0.2">
      <c r="B1967" s="14" t="s">
        <v>3756</v>
      </c>
      <c r="C1967" s="14" t="s">
        <v>3757</v>
      </c>
      <c r="D1967" s="14">
        <v>1</v>
      </c>
      <c r="E1967" s="17">
        <v>2317.9699999999998</v>
      </c>
      <c r="F1967" s="16" t="s">
        <v>8</v>
      </c>
      <c r="G1967" s="14"/>
    </row>
    <row r="1968" spans="2:7" ht="11.25" outlineLevel="5" x14ac:dyDescent="0.2">
      <c r="B1968" s="14" t="s">
        <v>3758</v>
      </c>
      <c r="C1968" s="14" t="s">
        <v>3759</v>
      </c>
      <c r="D1968" s="14">
        <v>1</v>
      </c>
      <c r="E1968" s="17">
        <v>2809.86</v>
      </c>
      <c r="F1968" s="16" t="s">
        <v>8</v>
      </c>
      <c r="G1968" s="38" t="str">
        <f>HYPERLINK("http://enext.ua/s0102015")</f>
        <v>http://enext.ua/s0102015</v>
      </c>
    </row>
    <row r="1969" spans="2:7" ht="11.25" outlineLevel="5" x14ac:dyDescent="0.2">
      <c r="B1969" s="14" t="s">
        <v>3760</v>
      </c>
      <c r="C1969" s="14" t="s">
        <v>3761</v>
      </c>
      <c r="D1969" s="14">
        <v>1</v>
      </c>
      <c r="E1969" s="17">
        <v>3093.51</v>
      </c>
      <c r="F1969" s="16" t="s">
        <v>8</v>
      </c>
      <c r="G1969" s="38" t="str">
        <f>HYPERLINK("http://enext.ua/s0102016")</f>
        <v>http://enext.ua/s0102016</v>
      </c>
    </row>
    <row r="1970" spans="2:7" ht="11.25" outlineLevel="5" x14ac:dyDescent="0.2">
      <c r="B1970" s="14" t="s">
        <v>3762</v>
      </c>
      <c r="C1970" s="14" t="s">
        <v>3763</v>
      </c>
      <c r="D1970" s="14">
        <v>1</v>
      </c>
      <c r="E1970" s="17">
        <v>2307.9299999999998</v>
      </c>
      <c r="F1970" s="16" t="s">
        <v>8</v>
      </c>
      <c r="G1970" s="14"/>
    </row>
    <row r="1971" spans="2:7" ht="11.25" outlineLevel="5" x14ac:dyDescent="0.2">
      <c r="B1971" s="14" t="s">
        <v>3764</v>
      </c>
      <c r="C1971" s="14" t="s">
        <v>3765</v>
      </c>
      <c r="D1971" s="14">
        <v>1</v>
      </c>
      <c r="E1971" s="17">
        <v>2901.76</v>
      </c>
      <c r="F1971" s="16" t="s">
        <v>8</v>
      </c>
      <c r="G1971" s="38" t="str">
        <f>HYPERLINK("http://enext.ua/s0102017")</f>
        <v>http://enext.ua/s0102017</v>
      </c>
    </row>
    <row r="1972" spans="2:7" ht="11.25" outlineLevel="5" x14ac:dyDescent="0.2">
      <c r="B1972" s="14" t="s">
        <v>3766</v>
      </c>
      <c r="C1972" s="14" t="s">
        <v>3767</v>
      </c>
      <c r="D1972" s="14">
        <v>1</v>
      </c>
      <c r="E1972" s="17">
        <v>3185.41</v>
      </c>
      <c r="F1972" s="16" t="s">
        <v>8</v>
      </c>
      <c r="G1972" s="38" t="str">
        <f>HYPERLINK("http://enext.ua/s0102018")</f>
        <v>http://enext.ua/s0102018</v>
      </c>
    </row>
    <row r="1973" spans="2:7" ht="11.25" outlineLevel="5" x14ac:dyDescent="0.2">
      <c r="B1973" s="14" t="s">
        <v>3768</v>
      </c>
      <c r="C1973" s="14" t="s">
        <v>3769</v>
      </c>
      <c r="D1973" s="14">
        <v>1</v>
      </c>
      <c r="E1973" s="17">
        <v>2078.63</v>
      </c>
      <c r="F1973" s="16" t="s">
        <v>8</v>
      </c>
      <c r="G1973" s="14"/>
    </row>
    <row r="1974" spans="2:7" ht="11.25" outlineLevel="5" x14ac:dyDescent="0.2">
      <c r="B1974" s="14" t="s">
        <v>3770</v>
      </c>
      <c r="C1974" s="14" t="s">
        <v>3771</v>
      </c>
      <c r="D1974" s="14">
        <v>1</v>
      </c>
      <c r="E1974" s="17">
        <v>3027.09</v>
      </c>
      <c r="F1974" s="16" t="s">
        <v>8</v>
      </c>
      <c r="G1974" s="14"/>
    </row>
    <row r="1975" spans="2:7" ht="12" outlineLevel="4" x14ac:dyDescent="0.2">
      <c r="B1975" s="12"/>
      <c r="C1975" s="37" t="s">
        <v>3772</v>
      </c>
      <c r="D1975" s="12"/>
      <c r="E1975" s="13"/>
      <c r="F1975" s="13"/>
      <c r="G1975" s="12"/>
    </row>
    <row r="1976" spans="2:7" ht="11.25" outlineLevel="5" x14ac:dyDescent="0.2">
      <c r="B1976" s="14" t="s">
        <v>3773</v>
      </c>
      <c r="C1976" s="14" t="s">
        <v>3774</v>
      </c>
      <c r="D1976" s="14">
        <v>1</v>
      </c>
      <c r="E1976" s="17">
        <v>3735.6</v>
      </c>
      <c r="F1976" s="16" t="s">
        <v>8</v>
      </c>
      <c r="G1976" s="14"/>
    </row>
    <row r="1977" spans="2:7" ht="11.25" outlineLevel="5" x14ac:dyDescent="0.2">
      <c r="B1977" s="14" t="s">
        <v>3775</v>
      </c>
      <c r="C1977" s="14" t="s">
        <v>3776</v>
      </c>
      <c r="D1977" s="14">
        <v>1</v>
      </c>
      <c r="E1977" s="17">
        <v>4019.24</v>
      </c>
      <c r="F1977" s="16" t="s">
        <v>8</v>
      </c>
      <c r="G1977" s="14"/>
    </row>
    <row r="1978" spans="2:7" ht="11.25" outlineLevel="5" x14ac:dyDescent="0.2">
      <c r="B1978" s="14" t="s">
        <v>3777</v>
      </c>
      <c r="C1978" s="14" t="s">
        <v>3778</v>
      </c>
      <c r="D1978" s="14">
        <v>1</v>
      </c>
      <c r="E1978" s="17">
        <v>2653.98</v>
      </c>
      <c r="F1978" s="16" t="s">
        <v>8</v>
      </c>
      <c r="G1978" s="14"/>
    </row>
    <row r="1979" spans="2:7" ht="11.25" outlineLevel="5" x14ac:dyDescent="0.2">
      <c r="B1979" s="14" t="s">
        <v>3779</v>
      </c>
      <c r="C1979" s="14" t="s">
        <v>3780</v>
      </c>
      <c r="D1979" s="14">
        <v>1</v>
      </c>
      <c r="E1979" s="17">
        <v>3498.38</v>
      </c>
      <c r="F1979" s="16" t="s">
        <v>8</v>
      </c>
      <c r="G1979" s="14"/>
    </row>
    <row r="1980" spans="2:7" ht="11.25" outlineLevel="5" x14ac:dyDescent="0.2">
      <c r="B1980" s="14" t="s">
        <v>3781</v>
      </c>
      <c r="C1980" s="14" t="s">
        <v>3782</v>
      </c>
      <c r="D1980" s="14">
        <v>1</v>
      </c>
      <c r="E1980" s="17">
        <v>3782.03</v>
      </c>
      <c r="F1980" s="16" t="s">
        <v>8</v>
      </c>
      <c r="G1980" s="14"/>
    </row>
    <row r="1981" spans="2:7" ht="11.25" outlineLevel="5" x14ac:dyDescent="0.2">
      <c r="B1981" s="14" t="s">
        <v>3783</v>
      </c>
      <c r="C1981" s="14" t="s">
        <v>3784</v>
      </c>
      <c r="D1981" s="14">
        <v>1</v>
      </c>
      <c r="E1981" s="17">
        <v>2671.26</v>
      </c>
      <c r="F1981" s="16" t="s">
        <v>8</v>
      </c>
      <c r="G1981" s="14"/>
    </row>
    <row r="1982" spans="2:7" ht="11.25" outlineLevel="5" x14ac:dyDescent="0.2">
      <c r="B1982" s="14" t="s">
        <v>3785</v>
      </c>
      <c r="C1982" s="14" t="s">
        <v>3786</v>
      </c>
      <c r="D1982" s="14">
        <v>1</v>
      </c>
      <c r="E1982" s="17">
        <v>3561.39</v>
      </c>
      <c r="F1982" s="16" t="s">
        <v>8</v>
      </c>
      <c r="G1982" s="14"/>
    </row>
    <row r="1983" spans="2:7" ht="11.25" outlineLevel="5" x14ac:dyDescent="0.2">
      <c r="B1983" s="14" t="s">
        <v>3787</v>
      </c>
      <c r="C1983" s="14" t="s">
        <v>3788</v>
      </c>
      <c r="D1983" s="14">
        <v>1</v>
      </c>
      <c r="E1983" s="17">
        <v>3845.04</v>
      </c>
      <c r="F1983" s="16" t="s">
        <v>8</v>
      </c>
      <c r="G1983" s="14"/>
    </row>
    <row r="1984" spans="2:7" ht="11.25" outlineLevel="5" x14ac:dyDescent="0.2">
      <c r="B1984" s="14" t="s">
        <v>3789</v>
      </c>
      <c r="C1984" s="14" t="s">
        <v>3790</v>
      </c>
      <c r="D1984" s="14">
        <v>1</v>
      </c>
      <c r="E1984" s="17">
        <v>2656.51</v>
      </c>
      <c r="F1984" s="16" t="s">
        <v>8</v>
      </c>
      <c r="G1984" s="14"/>
    </row>
    <row r="1985" spans="2:7" ht="11.25" outlineLevel="5" x14ac:dyDescent="0.2">
      <c r="B1985" s="14" t="s">
        <v>3791</v>
      </c>
      <c r="C1985" s="14" t="s">
        <v>3792</v>
      </c>
      <c r="D1985" s="14">
        <v>1</v>
      </c>
      <c r="E1985" s="17">
        <v>3422.38</v>
      </c>
      <c r="F1985" s="16" t="s">
        <v>8</v>
      </c>
      <c r="G1985" s="14"/>
    </row>
    <row r="1986" spans="2:7" ht="12" outlineLevel="4" x14ac:dyDescent="0.2">
      <c r="B1986" s="12"/>
      <c r="C1986" s="37" t="s">
        <v>3793</v>
      </c>
      <c r="D1986" s="12"/>
      <c r="E1986" s="13"/>
      <c r="F1986" s="13"/>
      <c r="G1986" s="12"/>
    </row>
    <row r="1987" spans="2:7" ht="11.25" outlineLevel="5" x14ac:dyDescent="0.2">
      <c r="B1987" s="14" t="s">
        <v>3794</v>
      </c>
      <c r="C1987" s="14" t="s">
        <v>3795</v>
      </c>
      <c r="D1987" s="14">
        <v>1</v>
      </c>
      <c r="E1987" s="17">
        <v>4999.33</v>
      </c>
      <c r="F1987" s="16" t="s">
        <v>8</v>
      </c>
      <c r="G1987" s="14"/>
    </row>
    <row r="1988" spans="2:7" ht="11.25" outlineLevel="5" x14ac:dyDescent="0.2">
      <c r="B1988" s="14" t="s">
        <v>3796</v>
      </c>
      <c r="C1988" s="14" t="s">
        <v>3797</v>
      </c>
      <c r="D1988" s="14">
        <v>1</v>
      </c>
      <c r="E1988" s="17">
        <v>5134.0600000000004</v>
      </c>
      <c r="F1988" s="16" t="s">
        <v>8</v>
      </c>
      <c r="G1988" s="14"/>
    </row>
    <row r="1989" spans="2:7" ht="11.25" outlineLevel="5" x14ac:dyDescent="0.2">
      <c r="B1989" s="14" t="s">
        <v>3798</v>
      </c>
      <c r="C1989" s="14" t="s">
        <v>3799</v>
      </c>
      <c r="D1989" s="14">
        <v>1</v>
      </c>
      <c r="E1989" s="17">
        <v>3797.98</v>
      </c>
      <c r="F1989" s="16" t="s">
        <v>8</v>
      </c>
      <c r="G1989" s="14"/>
    </row>
    <row r="1990" spans="2:7" ht="11.25" outlineLevel="5" x14ac:dyDescent="0.2">
      <c r="B1990" s="14" t="s">
        <v>3800</v>
      </c>
      <c r="C1990" s="14" t="s">
        <v>3801</v>
      </c>
      <c r="D1990" s="14">
        <v>1</v>
      </c>
      <c r="E1990" s="17">
        <v>4070.89</v>
      </c>
      <c r="F1990" s="16" t="s">
        <v>8</v>
      </c>
      <c r="G1990" s="14"/>
    </row>
    <row r="1991" spans="2:7" ht="11.25" outlineLevel="5" x14ac:dyDescent="0.2">
      <c r="B1991" s="14" t="s">
        <v>3802</v>
      </c>
      <c r="C1991" s="14" t="s">
        <v>3803</v>
      </c>
      <c r="D1991" s="14">
        <v>1</v>
      </c>
      <c r="E1991" s="17">
        <v>4205.62</v>
      </c>
      <c r="F1991" s="16" t="s">
        <v>8</v>
      </c>
      <c r="G1991" s="14"/>
    </row>
    <row r="1992" spans="2:7" ht="11.25" outlineLevel="5" x14ac:dyDescent="0.2">
      <c r="B1992" s="14" t="s">
        <v>3804</v>
      </c>
      <c r="C1992" s="14" t="s">
        <v>3805</v>
      </c>
      <c r="D1992" s="14">
        <v>1</v>
      </c>
      <c r="E1992" s="17">
        <v>4843.33</v>
      </c>
      <c r="F1992" s="16" t="s">
        <v>8</v>
      </c>
      <c r="G1992" s="14"/>
    </row>
    <row r="1993" spans="2:7" ht="11.25" outlineLevel="5" x14ac:dyDescent="0.2">
      <c r="B1993" s="14" t="s">
        <v>3806</v>
      </c>
      <c r="C1993" s="14" t="s">
        <v>3807</v>
      </c>
      <c r="D1993" s="14">
        <v>1</v>
      </c>
      <c r="E1993" s="17">
        <v>4978.0600000000004</v>
      </c>
      <c r="F1993" s="16" t="s">
        <v>8</v>
      </c>
      <c r="G1993" s="14"/>
    </row>
    <row r="1994" spans="2:7" ht="11.25" outlineLevel="5" x14ac:dyDescent="0.2">
      <c r="B1994" s="14" t="s">
        <v>3808</v>
      </c>
      <c r="C1994" s="14" t="s">
        <v>3809</v>
      </c>
      <c r="D1994" s="14">
        <v>1</v>
      </c>
      <c r="E1994" s="17">
        <v>4377.41</v>
      </c>
      <c r="F1994" s="16" t="s">
        <v>8</v>
      </c>
      <c r="G1994" s="14"/>
    </row>
    <row r="1995" spans="2:7" ht="11.25" outlineLevel="5" x14ac:dyDescent="0.2">
      <c r="B1995" s="14" t="s">
        <v>3810</v>
      </c>
      <c r="C1995" s="14" t="s">
        <v>3811</v>
      </c>
      <c r="D1995" s="14">
        <v>1</v>
      </c>
      <c r="E1995" s="17">
        <v>4512.1400000000003</v>
      </c>
      <c r="F1995" s="16" t="s">
        <v>8</v>
      </c>
      <c r="G1995" s="14"/>
    </row>
    <row r="1996" spans="2:7" ht="12" outlineLevel="4" x14ac:dyDescent="0.2">
      <c r="B1996" s="12"/>
      <c r="C1996" s="37" t="s">
        <v>3812</v>
      </c>
      <c r="D1996" s="12"/>
      <c r="E1996" s="13"/>
      <c r="F1996" s="13"/>
      <c r="G1996" s="12"/>
    </row>
    <row r="1997" spans="2:7" ht="11.25" outlineLevel="5" x14ac:dyDescent="0.2">
      <c r="B1997" s="14" t="s">
        <v>3813</v>
      </c>
      <c r="C1997" s="14" t="s">
        <v>3814</v>
      </c>
      <c r="D1997" s="14">
        <v>1</v>
      </c>
      <c r="E1997" s="17">
        <v>5499.86</v>
      </c>
      <c r="F1997" s="16" t="s">
        <v>8</v>
      </c>
      <c r="G1997" s="14"/>
    </row>
    <row r="1998" spans="2:7" ht="11.25" outlineLevel="5" x14ac:dyDescent="0.2">
      <c r="B1998" s="14" t="s">
        <v>3815</v>
      </c>
      <c r="C1998" s="14" t="s">
        <v>3816</v>
      </c>
      <c r="D1998" s="14">
        <v>1</v>
      </c>
      <c r="E1998" s="17">
        <v>5634.59</v>
      </c>
      <c r="F1998" s="16" t="s">
        <v>8</v>
      </c>
      <c r="G1998" s="14"/>
    </row>
    <row r="1999" spans="2:7" ht="11.25" outlineLevel="5" x14ac:dyDescent="0.2">
      <c r="B1999" s="14" t="s">
        <v>3817</v>
      </c>
      <c r="C1999" s="14" t="s">
        <v>3818</v>
      </c>
      <c r="D1999" s="14">
        <v>1</v>
      </c>
      <c r="E1999" s="17">
        <v>4061.39</v>
      </c>
      <c r="F1999" s="16" t="s">
        <v>8</v>
      </c>
      <c r="G1999" s="14"/>
    </row>
    <row r="2000" spans="2:7" ht="11.25" outlineLevel="5" x14ac:dyDescent="0.2">
      <c r="B2000" s="14" t="s">
        <v>3819</v>
      </c>
      <c r="C2000" s="14" t="s">
        <v>3820</v>
      </c>
      <c r="D2000" s="14">
        <v>1</v>
      </c>
      <c r="E2000" s="17">
        <v>4890.9799999999996</v>
      </c>
      <c r="F2000" s="16" t="s">
        <v>8</v>
      </c>
      <c r="G2000" s="14"/>
    </row>
    <row r="2001" spans="2:7" ht="11.25" outlineLevel="5" x14ac:dyDescent="0.2">
      <c r="B2001" s="14" t="s">
        <v>3821</v>
      </c>
      <c r="C2001" s="14" t="s">
        <v>3822</v>
      </c>
      <c r="D2001" s="14">
        <v>1</v>
      </c>
      <c r="E2001" s="17">
        <v>5025.71</v>
      </c>
      <c r="F2001" s="16" t="s">
        <v>8</v>
      </c>
      <c r="G2001" s="14"/>
    </row>
    <row r="2002" spans="2:7" ht="11.25" outlineLevel="5" x14ac:dyDescent="0.2">
      <c r="B2002" s="14" t="s">
        <v>3823</v>
      </c>
      <c r="C2002" s="14" t="s">
        <v>3824</v>
      </c>
      <c r="D2002" s="14">
        <v>1</v>
      </c>
      <c r="E2002" s="17">
        <v>4557.42</v>
      </c>
      <c r="F2002" s="16" t="s">
        <v>8</v>
      </c>
      <c r="G2002" s="14"/>
    </row>
    <row r="2003" spans="2:7" ht="11.25" outlineLevel="5" x14ac:dyDescent="0.2">
      <c r="B2003" s="14" t="s">
        <v>3825</v>
      </c>
      <c r="C2003" s="14" t="s">
        <v>3826</v>
      </c>
      <c r="D2003" s="14">
        <v>1</v>
      </c>
      <c r="E2003" s="17">
        <v>4692.1499999999996</v>
      </c>
      <c r="F2003" s="16" t="s">
        <v>8</v>
      </c>
      <c r="G2003" s="14"/>
    </row>
    <row r="2004" spans="2:7" ht="11.25" outlineLevel="5" x14ac:dyDescent="0.2">
      <c r="B2004" s="14" t="s">
        <v>3827</v>
      </c>
      <c r="C2004" s="14" t="s">
        <v>3828</v>
      </c>
      <c r="D2004" s="14">
        <v>1</v>
      </c>
      <c r="E2004" s="17">
        <v>3565.68</v>
      </c>
      <c r="F2004" s="16" t="s">
        <v>8</v>
      </c>
      <c r="G2004" s="14"/>
    </row>
    <row r="2005" spans="2:7" ht="11.25" outlineLevel="5" x14ac:dyDescent="0.2">
      <c r="B2005" s="14" t="s">
        <v>3829</v>
      </c>
      <c r="C2005" s="14" t="s">
        <v>3830</v>
      </c>
      <c r="D2005" s="14">
        <v>1</v>
      </c>
      <c r="E2005" s="17">
        <v>4789.72</v>
      </c>
      <c r="F2005" s="16" t="s">
        <v>8</v>
      </c>
      <c r="G2005" s="14"/>
    </row>
    <row r="2006" spans="2:7" ht="11.25" outlineLevel="5" x14ac:dyDescent="0.2">
      <c r="B2006" s="14" t="s">
        <v>3831</v>
      </c>
      <c r="C2006" s="14" t="s">
        <v>3832</v>
      </c>
      <c r="D2006" s="14">
        <v>1</v>
      </c>
      <c r="E2006" s="17">
        <v>4924.45</v>
      </c>
      <c r="F2006" s="16" t="s">
        <v>8</v>
      </c>
      <c r="G2006" s="14"/>
    </row>
    <row r="2007" spans="2:7" ht="12" outlineLevel="4" x14ac:dyDescent="0.2">
      <c r="B2007" s="12"/>
      <c r="C2007" s="37" t="s">
        <v>3833</v>
      </c>
      <c r="D2007" s="12"/>
      <c r="E2007" s="13"/>
      <c r="F2007" s="13"/>
      <c r="G2007" s="12"/>
    </row>
    <row r="2008" spans="2:7" ht="11.25" outlineLevel="5" x14ac:dyDescent="0.2">
      <c r="B2008" s="14" t="s">
        <v>3834</v>
      </c>
      <c r="C2008" s="14" t="s">
        <v>3835</v>
      </c>
      <c r="D2008" s="14">
        <v>1</v>
      </c>
      <c r="E2008" s="17">
        <v>6497.5</v>
      </c>
      <c r="F2008" s="16" t="s">
        <v>8</v>
      </c>
      <c r="G2008" s="14"/>
    </row>
    <row r="2009" spans="2:7" ht="12" outlineLevel="4" x14ac:dyDescent="0.2">
      <c r="B2009" s="12"/>
      <c r="C2009" s="37" t="s">
        <v>3836</v>
      </c>
      <c r="D2009" s="12"/>
      <c r="E2009" s="13"/>
      <c r="F2009" s="13"/>
      <c r="G2009" s="12"/>
    </row>
    <row r="2010" spans="2:7" ht="11.25" outlineLevel="5" x14ac:dyDescent="0.2">
      <c r="B2010" s="14" t="s">
        <v>3837</v>
      </c>
      <c r="C2010" s="14" t="s">
        <v>3838</v>
      </c>
      <c r="D2010" s="14">
        <v>1</v>
      </c>
      <c r="E2010" s="17">
        <v>6219.93</v>
      </c>
      <c r="F2010" s="16" t="s">
        <v>8</v>
      </c>
      <c r="G2010" s="14"/>
    </row>
    <row r="2011" spans="2:7" ht="11.25" outlineLevel="5" x14ac:dyDescent="0.2">
      <c r="B2011" s="14" t="s">
        <v>3839</v>
      </c>
      <c r="C2011" s="14" t="s">
        <v>3840</v>
      </c>
      <c r="D2011" s="14">
        <v>1</v>
      </c>
      <c r="E2011" s="17">
        <v>6354.66</v>
      </c>
      <c r="F2011" s="16" t="s">
        <v>8</v>
      </c>
      <c r="G2011" s="14"/>
    </row>
    <row r="2012" spans="2:7" ht="11.25" outlineLevel="5" x14ac:dyDescent="0.2">
      <c r="B2012" s="14" t="s">
        <v>3841</v>
      </c>
      <c r="C2012" s="14" t="s">
        <v>3842</v>
      </c>
      <c r="D2012" s="14">
        <v>1</v>
      </c>
      <c r="E2012" s="17">
        <v>4588.8599999999997</v>
      </c>
      <c r="F2012" s="16" t="s">
        <v>8</v>
      </c>
      <c r="G2012" s="14"/>
    </row>
    <row r="2013" spans="2:7" ht="11.25" outlineLevel="5" x14ac:dyDescent="0.2">
      <c r="B2013" s="14" t="s">
        <v>3843</v>
      </c>
      <c r="C2013" s="14" t="s">
        <v>3844</v>
      </c>
      <c r="D2013" s="14">
        <v>1</v>
      </c>
      <c r="E2013" s="17">
        <v>5516.74</v>
      </c>
      <c r="F2013" s="16" t="s">
        <v>8</v>
      </c>
      <c r="G2013" s="14"/>
    </row>
    <row r="2014" spans="2:7" ht="11.25" outlineLevel="5" x14ac:dyDescent="0.2">
      <c r="B2014" s="14" t="s">
        <v>3845</v>
      </c>
      <c r="C2014" s="14" t="s">
        <v>3846</v>
      </c>
      <c r="D2014" s="14">
        <v>1</v>
      </c>
      <c r="E2014" s="17">
        <v>5651.47</v>
      </c>
      <c r="F2014" s="16" t="s">
        <v>8</v>
      </c>
      <c r="G2014" s="14"/>
    </row>
    <row r="2015" spans="2:7" ht="11.25" outlineLevel="5" x14ac:dyDescent="0.2">
      <c r="B2015" s="14" t="s">
        <v>3847</v>
      </c>
      <c r="C2015" s="14" t="s">
        <v>3848</v>
      </c>
      <c r="D2015" s="14">
        <v>1</v>
      </c>
      <c r="E2015" s="17">
        <v>5496.22</v>
      </c>
      <c r="F2015" s="16" t="s">
        <v>8</v>
      </c>
      <c r="G2015" s="14"/>
    </row>
    <row r="2016" spans="2:7" ht="11.25" outlineLevel="5" x14ac:dyDescent="0.2">
      <c r="B2016" s="14" t="s">
        <v>3849</v>
      </c>
      <c r="C2016" s="14" t="s">
        <v>3850</v>
      </c>
      <c r="D2016" s="14">
        <v>1</v>
      </c>
      <c r="E2016" s="17">
        <v>5630.95</v>
      </c>
      <c r="F2016" s="16" t="s">
        <v>8</v>
      </c>
      <c r="G2016" s="14"/>
    </row>
    <row r="2017" spans="2:7" ht="11.25" outlineLevel="5" x14ac:dyDescent="0.2">
      <c r="B2017" s="14" t="s">
        <v>3851</v>
      </c>
      <c r="C2017" s="14" t="s">
        <v>3852</v>
      </c>
      <c r="D2017" s="14">
        <v>1</v>
      </c>
      <c r="E2017" s="17">
        <v>5156.38</v>
      </c>
      <c r="F2017" s="16" t="s">
        <v>8</v>
      </c>
      <c r="G2017" s="14"/>
    </row>
    <row r="2018" spans="2:7" ht="11.25" outlineLevel="5" x14ac:dyDescent="0.2">
      <c r="B2018" s="14" t="s">
        <v>3853</v>
      </c>
      <c r="C2018" s="14" t="s">
        <v>3854</v>
      </c>
      <c r="D2018" s="14">
        <v>1</v>
      </c>
      <c r="E2018" s="17">
        <v>5291.1</v>
      </c>
      <c r="F2018" s="16" t="s">
        <v>8</v>
      </c>
      <c r="G2018" s="14"/>
    </row>
    <row r="2019" spans="2:7" ht="12" outlineLevel="2" x14ac:dyDescent="0.2">
      <c r="B2019" s="8"/>
      <c r="C2019" s="35" t="s">
        <v>3855</v>
      </c>
      <c r="D2019" s="8"/>
      <c r="E2019" s="9"/>
      <c r="F2019" s="9"/>
      <c r="G2019" s="8"/>
    </row>
    <row r="2020" spans="2:7" ht="12" outlineLevel="3" x14ac:dyDescent="0.2">
      <c r="B2020" s="10"/>
      <c r="C2020" s="36" t="s">
        <v>3856</v>
      </c>
      <c r="D2020" s="10"/>
      <c r="E2020" s="11"/>
      <c r="F2020" s="11"/>
      <c r="G2020" s="10"/>
    </row>
    <row r="2021" spans="2:7" ht="11.25" outlineLevel="4" x14ac:dyDescent="0.2">
      <c r="B2021" s="14" t="s">
        <v>3857</v>
      </c>
      <c r="C2021" s="14" t="s">
        <v>3858</v>
      </c>
      <c r="D2021" s="14">
        <v>1</v>
      </c>
      <c r="E2021" s="15">
        <v>327.41000000000003</v>
      </c>
      <c r="F2021" s="16" t="s">
        <v>8</v>
      </c>
      <c r="G2021" s="38" t="str">
        <f>HYPERLINK("http://enext.ua/s0102036")</f>
        <v>http://enext.ua/s0102036</v>
      </c>
    </row>
    <row r="2022" spans="2:7" ht="11.25" outlineLevel="4" x14ac:dyDescent="0.2">
      <c r="B2022" s="14" t="s">
        <v>3859</v>
      </c>
      <c r="C2022" s="14" t="s">
        <v>3860</v>
      </c>
      <c r="D2022" s="14">
        <v>1</v>
      </c>
      <c r="E2022" s="15">
        <v>327.41000000000003</v>
      </c>
      <c r="F2022" s="16" t="s">
        <v>8</v>
      </c>
      <c r="G2022" s="38" t="str">
        <f>HYPERLINK("http://enext.ua/s0102037")</f>
        <v>http://enext.ua/s0102037</v>
      </c>
    </row>
    <row r="2023" spans="2:7" ht="11.25" outlineLevel="4" x14ac:dyDescent="0.2">
      <c r="B2023" s="14" t="s">
        <v>3861</v>
      </c>
      <c r="C2023" s="14" t="s">
        <v>3862</v>
      </c>
      <c r="D2023" s="14">
        <v>1</v>
      </c>
      <c r="E2023" s="15">
        <v>198.16</v>
      </c>
      <c r="F2023" s="16" t="s">
        <v>8</v>
      </c>
      <c r="G2023" s="38" t="str">
        <f>HYPERLINK("http://enext.ua/s0102038")</f>
        <v>http://enext.ua/s0102038</v>
      </c>
    </row>
    <row r="2024" spans="2:7" ht="11.25" outlineLevel="4" x14ac:dyDescent="0.2">
      <c r="B2024" s="14" t="s">
        <v>3863</v>
      </c>
      <c r="C2024" s="14" t="s">
        <v>3864</v>
      </c>
      <c r="D2024" s="14">
        <v>1</v>
      </c>
      <c r="E2024" s="15">
        <v>126.36</v>
      </c>
      <c r="F2024" s="16" t="s">
        <v>8</v>
      </c>
      <c r="G2024" s="38" t="str">
        <f>HYPERLINK("http://enext.ua/s0102039")</f>
        <v>http://enext.ua/s0102039</v>
      </c>
    </row>
    <row r="2025" spans="2:7" ht="11.25" outlineLevel="4" x14ac:dyDescent="0.2">
      <c r="B2025" s="14" t="s">
        <v>3865</v>
      </c>
      <c r="C2025" s="14" t="s">
        <v>3866</v>
      </c>
      <c r="D2025" s="14">
        <v>1</v>
      </c>
      <c r="E2025" s="15">
        <v>458.08</v>
      </c>
      <c r="F2025" s="16" t="s">
        <v>8</v>
      </c>
      <c r="G2025" s="38" t="str">
        <f>HYPERLINK("http://enext.ua/s0102040")</f>
        <v>http://enext.ua/s0102040</v>
      </c>
    </row>
    <row r="2026" spans="2:7" ht="11.25" outlineLevel="4" x14ac:dyDescent="0.2">
      <c r="B2026" s="14" t="s">
        <v>3867</v>
      </c>
      <c r="C2026" s="14" t="s">
        <v>3868</v>
      </c>
      <c r="D2026" s="14">
        <v>1</v>
      </c>
      <c r="E2026" s="15">
        <v>220.2</v>
      </c>
      <c r="F2026" s="16" t="s">
        <v>8</v>
      </c>
      <c r="G2026" s="38" t="str">
        <f>HYPERLINK("http://enext.ua/s0102041")</f>
        <v>http://enext.ua/s0102041</v>
      </c>
    </row>
    <row r="2027" spans="2:7" ht="11.25" outlineLevel="4" x14ac:dyDescent="0.2">
      <c r="B2027" s="14" t="s">
        <v>3869</v>
      </c>
      <c r="C2027" s="14" t="s">
        <v>3870</v>
      </c>
      <c r="D2027" s="14">
        <v>1</v>
      </c>
      <c r="E2027" s="15">
        <v>978.89</v>
      </c>
      <c r="F2027" s="16" t="s">
        <v>8</v>
      </c>
      <c r="G2027" s="38" t="str">
        <f>HYPERLINK("http://enext.ua/s0102042")</f>
        <v>http://enext.ua/s0102042</v>
      </c>
    </row>
    <row r="2028" spans="2:7" ht="11.25" outlineLevel="4" x14ac:dyDescent="0.2">
      <c r="B2028" s="14" t="s">
        <v>3871</v>
      </c>
      <c r="C2028" s="14" t="s">
        <v>3872</v>
      </c>
      <c r="D2028" s="14">
        <v>1</v>
      </c>
      <c r="E2028" s="15">
        <v>314.97000000000003</v>
      </c>
      <c r="F2028" s="16" t="s">
        <v>8</v>
      </c>
      <c r="G2028" s="38" t="str">
        <f>HYPERLINK("http://enext.ua/s0102043")</f>
        <v>http://enext.ua/s0102043</v>
      </c>
    </row>
    <row r="2029" spans="2:7" ht="11.25" outlineLevel="4" x14ac:dyDescent="0.2">
      <c r="B2029" s="14" t="s">
        <v>3873</v>
      </c>
      <c r="C2029" s="14" t="s">
        <v>3874</v>
      </c>
      <c r="D2029" s="14">
        <v>1</v>
      </c>
      <c r="E2029" s="15">
        <v>605.39</v>
      </c>
      <c r="F2029" s="16" t="s">
        <v>8</v>
      </c>
      <c r="G2029" s="38" t="str">
        <f>HYPERLINK("http://enext.ua/s0102044")</f>
        <v>http://enext.ua/s0102044</v>
      </c>
    </row>
    <row r="2030" spans="2:7" ht="11.25" outlineLevel="4" x14ac:dyDescent="0.2">
      <c r="B2030" s="14" t="s">
        <v>3875</v>
      </c>
      <c r="C2030" s="14" t="s">
        <v>3876</v>
      </c>
      <c r="D2030" s="14">
        <v>1</v>
      </c>
      <c r="E2030" s="15">
        <v>653.86</v>
      </c>
      <c r="F2030" s="16" t="s">
        <v>8</v>
      </c>
      <c r="G2030" s="38" t="str">
        <f>HYPERLINK("http://enext.ua/s0102045")</f>
        <v>http://enext.ua/s0102045</v>
      </c>
    </row>
    <row r="2031" spans="2:7" ht="11.25" outlineLevel="4" x14ac:dyDescent="0.2">
      <c r="B2031" s="14" t="s">
        <v>3877</v>
      </c>
      <c r="C2031" s="14" t="s">
        <v>3878</v>
      </c>
      <c r="D2031" s="14">
        <v>1</v>
      </c>
      <c r="E2031" s="15">
        <v>669.18</v>
      </c>
      <c r="F2031" s="16" t="s">
        <v>8</v>
      </c>
      <c r="G2031" s="38" t="str">
        <f>HYPERLINK("http://enext.ua/s0102046")</f>
        <v>http://enext.ua/s0102046</v>
      </c>
    </row>
    <row r="2032" spans="2:7" ht="11.25" outlineLevel="4" x14ac:dyDescent="0.2">
      <c r="B2032" s="14" t="s">
        <v>3879</v>
      </c>
      <c r="C2032" s="14" t="s">
        <v>3880</v>
      </c>
      <c r="D2032" s="14">
        <v>1</v>
      </c>
      <c r="E2032" s="15">
        <v>839.38</v>
      </c>
      <c r="F2032" s="16" t="s">
        <v>8</v>
      </c>
      <c r="G2032" s="38" t="str">
        <f>HYPERLINK("http://enext.ua/s0102047")</f>
        <v>http://enext.ua/s0102047</v>
      </c>
    </row>
    <row r="2033" spans="2:7" ht="11.25" outlineLevel="4" x14ac:dyDescent="0.2">
      <c r="B2033" s="14" t="s">
        <v>3881</v>
      </c>
      <c r="C2033" s="14" t="s">
        <v>3882</v>
      </c>
      <c r="D2033" s="14">
        <v>1</v>
      </c>
      <c r="E2033" s="15">
        <v>869.41</v>
      </c>
      <c r="F2033" s="16" t="s">
        <v>8</v>
      </c>
      <c r="G2033" s="38" t="str">
        <f>HYPERLINK("http://enext.ua/s0102048")</f>
        <v>http://enext.ua/s0102048</v>
      </c>
    </row>
    <row r="2034" spans="2:7" ht="12" outlineLevel="3" x14ac:dyDescent="0.2">
      <c r="B2034" s="10"/>
      <c r="C2034" s="36" t="s">
        <v>3883</v>
      </c>
      <c r="D2034" s="10"/>
      <c r="E2034" s="11"/>
      <c r="F2034" s="11"/>
      <c r="G2034" s="10"/>
    </row>
    <row r="2035" spans="2:7" ht="11.25" outlineLevel="4" x14ac:dyDescent="0.2">
      <c r="B2035" s="14" t="s">
        <v>3884</v>
      </c>
      <c r="C2035" s="14" t="s">
        <v>3885</v>
      </c>
      <c r="D2035" s="14">
        <v>1</v>
      </c>
      <c r="E2035" s="15">
        <v>45.26</v>
      </c>
      <c r="F2035" s="16" t="s">
        <v>8</v>
      </c>
      <c r="G2035" s="38" t="str">
        <f>HYPERLINK("http://enext.ua/s053001")</f>
        <v>http://enext.ua/s053001</v>
      </c>
    </row>
    <row r="2036" spans="2:7" ht="11.25" outlineLevel="4" x14ac:dyDescent="0.2">
      <c r="B2036" s="14" t="s">
        <v>3886</v>
      </c>
      <c r="C2036" s="14" t="s">
        <v>3887</v>
      </c>
      <c r="D2036" s="14">
        <v>1</v>
      </c>
      <c r="E2036" s="15">
        <v>47.04</v>
      </c>
      <c r="F2036" s="16" t="s">
        <v>8</v>
      </c>
      <c r="G2036" s="38" t="str">
        <f>HYPERLINK("http://enext.ua/s053101")</f>
        <v>http://enext.ua/s053101</v>
      </c>
    </row>
    <row r="2037" spans="2:7" ht="11.25" outlineLevel="4" x14ac:dyDescent="0.2">
      <c r="B2037" s="14" t="s">
        <v>3888</v>
      </c>
      <c r="C2037" s="14" t="s">
        <v>3889</v>
      </c>
      <c r="D2037" s="14">
        <v>1</v>
      </c>
      <c r="E2037" s="15">
        <v>37.840000000000003</v>
      </c>
      <c r="F2037" s="16" t="s">
        <v>8</v>
      </c>
      <c r="G2037" s="38" t="str">
        <f>HYPERLINK("http://enext.ua/s053102")</f>
        <v>http://enext.ua/s053102</v>
      </c>
    </row>
    <row r="2038" spans="2:7" ht="11.25" outlineLevel="4" x14ac:dyDescent="0.2">
      <c r="B2038" s="14" t="s">
        <v>3890</v>
      </c>
      <c r="C2038" s="14" t="s">
        <v>3891</v>
      </c>
      <c r="D2038" s="14">
        <v>1</v>
      </c>
      <c r="E2038" s="15">
        <v>30.46</v>
      </c>
      <c r="F2038" s="16" t="s">
        <v>8</v>
      </c>
      <c r="G2038" s="38" t="str">
        <f>HYPERLINK("http://enext.ua/s053103")</f>
        <v>http://enext.ua/s053103</v>
      </c>
    </row>
    <row r="2039" spans="2:7" ht="11.25" outlineLevel="4" x14ac:dyDescent="0.2">
      <c r="B2039" s="14" t="s">
        <v>3892</v>
      </c>
      <c r="C2039" s="14" t="s">
        <v>3893</v>
      </c>
      <c r="D2039" s="14">
        <v>1</v>
      </c>
      <c r="E2039" s="15">
        <v>105.16</v>
      </c>
      <c r="F2039" s="16" t="s">
        <v>8</v>
      </c>
      <c r="G2039" s="38" t="str">
        <f>HYPERLINK("http://enext.ua/s053104")</f>
        <v>http://enext.ua/s053104</v>
      </c>
    </row>
    <row r="2040" spans="2:7" ht="11.25" outlineLevel="4" x14ac:dyDescent="0.2">
      <c r="B2040" s="14" t="s">
        <v>3894</v>
      </c>
      <c r="C2040" s="14" t="s">
        <v>3895</v>
      </c>
      <c r="D2040" s="14">
        <v>1</v>
      </c>
      <c r="E2040" s="15">
        <v>171.82</v>
      </c>
      <c r="F2040" s="16" t="s">
        <v>8</v>
      </c>
      <c r="G2040" s="38" t="str">
        <f>HYPERLINK("http://enext.ua/s053105")</f>
        <v>http://enext.ua/s053105</v>
      </c>
    </row>
    <row r="2041" spans="2:7" ht="11.25" outlineLevel="4" x14ac:dyDescent="0.2">
      <c r="B2041" s="14" t="s">
        <v>3896</v>
      </c>
      <c r="C2041" s="14" t="s">
        <v>3897</v>
      </c>
      <c r="D2041" s="14">
        <v>1</v>
      </c>
      <c r="E2041" s="15">
        <v>329.55</v>
      </c>
      <c r="F2041" s="16" t="s">
        <v>8</v>
      </c>
      <c r="G2041" s="38" t="str">
        <f>HYPERLINK("http://enext.ua/s053106")</f>
        <v>http://enext.ua/s053106</v>
      </c>
    </row>
    <row r="2042" spans="2:7" ht="12" outlineLevel="1" x14ac:dyDescent="0.2">
      <c r="B2042" s="6"/>
      <c r="C2042" s="34" t="s">
        <v>3898</v>
      </c>
      <c r="D2042" s="6"/>
      <c r="E2042" s="7"/>
      <c r="F2042" s="7"/>
      <c r="G2042" s="6"/>
    </row>
    <row r="2043" spans="2:7" ht="12" outlineLevel="2" x14ac:dyDescent="0.2">
      <c r="B2043" s="8"/>
      <c r="C2043" s="35" t="s">
        <v>3899</v>
      </c>
      <c r="D2043" s="8"/>
      <c r="E2043" s="9"/>
      <c r="F2043" s="9"/>
      <c r="G2043" s="8"/>
    </row>
    <row r="2044" spans="2:7" ht="12" outlineLevel="3" x14ac:dyDescent="0.2">
      <c r="B2044" s="10"/>
      <c r="C2044" s="36" t="s">
        <v>3900</v>
      </c>
      <c r="D2044" s="10"/>
      <c r="E2044" s="11"/>
      <c r="F2044" s="11"/>
      <c r="G2044" s="10"/>
    </row>
    <row r="2045" spans="2:7" ht="12" outlineLevel="4" x14ac:dyDescent="0.2">
      <c r="B2045" s="12"/>
      <c r="C2045" s="37" t="s">
        <v>3901</v>
      </c>
      <c r="D2045" s="12"/>
      <c r="E2045" s="13"/>
      <c r="F2045" s="13"/>
      <c r="G2045" s="12"/>
    </row>
    <row r="2046" spans="2:7" ht="11.25" outlineLevel="5" x14ac:dyDescent="0.2">
      <c r="B2046" s="14" t="s">
        <v>3902</v>
      </c>
      <c r="C2046" s="14" t="s">
        <v>3903</v>
      </c>
      <c r="D2046" s="14">
        <v>10</v>
      </c>
      <c r="E2046" s="15">
        <v>11.14</v>
      </c>
      <c r="F2046" s="16" t="s">
        <v>8</v>
      </c>
      <c r="G2046" s="14"/>
    </row>
    <row r="2047" spans="2:7" ht="11.25" outlineLevel="5" x14ac:dyDescent="0.2">
      <c r="B2047" s="14" t="s">
        <v>3904</v>
      </c>
      <c r="C2047" s="14" t="s">
        <v>3905</v>
      </c>
      <c r="D2047" s="14">
        <v>10</v>
      </c>
      <c r="E2047" s="15">
        <v>11.14</v>
      </c>
      <c r="F2047" s="16" t="s">
        <v>8</v>
      </c>
      <c r="G2047" s="14"/>
    </row>
    <row r="2048" spans="2:7" ht="11.25" outlineLevel="5" x14ac:dyDescent="0.2">
      <c r="B2048" s="14" t="s">
        <v>3906</v>
      </c>
      <c r="C2048" s="14" t="s">
        <v>3907</v>
      </c>
      <c r="D2048" s="14">
        <v>10</v>
      </c>
      <c r="E2048" s="15">
        <v>11.14</v>
      </c>
      <c r="F2048" s="16" t="s">
        <v>8</v>
      </c>
      <c r="G2048" s="14"/>
    </row>
    <row r="2049" spans="2:7" ht="11.25" outlineLevel="5" x14ac:dyDescent="0.2">
      <c r="B2049" s="14" t="s">
        <v>3908</v>
      </c>
      <c r="C2049" s="14" t="s">
        <v>3909</v>
      </c>
      <c r="D2049" s="14">
        <v>10</v>
      </c>
      <c r="E2049" s="15">
        <v>11.72</v>
      </c>
      <c r="F2049" s="16" t="s">
        <v>8</v>
      </c>
      <c r="G2049" s="38" t="str">
        <f>HYPERLINK("http://enext.ua/s016001")</f>
        <v>http://enext.ua/s016001</v>
      </c>
    </row>
    <row r="2050" spans="2:7" ht="11.25" outlineLevel="5" x14ac:dyDescent="0.2">
      <c r="B2050" s="14" t="s">
        <v>3910</v>
      </c>
      <c r="C2050" s="14" t="s">
        <v>3911</v>
      </c>
      <c r="D2050" s="14">
        <v>10</v>
      </c>
      <c r="E2050" s="15">
        <v>12.19</v>
      </c>
      <c r="F2050" s="16" t="s">
        <v>8</v>
      </c>
      <c r="G2050" s="14"/>
    </row>
    <row r="2051" spans="2:7" ht="11.25" outlineLevel="5" x14ac:dyDescent="0.2">
      <c r="B2051" s="14" t="s">
        <v>3912</v>
      </c>
      <c r="C2051" s="14" t="s">
        <v>3913</v>
      </c>
      <c r="D2051" s="14">
        <v>10</v>
      </c>
      <c r="E2051" s="15">
        <v>12.19</v>
      </c>
      <c r="F2051" s="16" t="s">
        <v>8</v>
      </c>
      <c r="G2051" s="14"/>
    </row>
    <row r="2052" spans="2:7" ht="11.25" outlineLevel="5" x14ac:dyDescent="0.2">
      <c r="B2052" s="14" t="s">
        <v>3914</v>
      </c>
      <c r="C2052" s="14" t="s">
        <v>3915</v>
      </c>
      <c r="D2052" s="14">
        <v>10</v>
      </c>
      <c r="E2052" s="15">
        <v>12.19</v>
      </c>
      <c r="F2052" s="16" t="s">
        <v>8</v>
      </c>
      <c r="G2052" s="14"/>
    </row>
    <row r="2053" spans="2:7" ht="11.25" outlineLevel="5" x14ac:dyDescent="0.2">
      <c r="B2053" s="14" t="s">
        <v>3916</v>
      </c>
      <c r="C2053" s="14" t="s">
        <v>3917</v>
      </c>
      <c r="D2053" s="14">
        <v>10</v>
      </c>
      <c r="E2053" s="15">
        <v>13.11</v>
      </c>
      <c r="F2053" s="16" t="s">
        <v>8</v>
      </c>
      <c r="G2053" s="38" t="str">
        <f>HYPERLINK("http://enext.ua/s016002")</f>
        <v>http://enext.ua/s016002</v>
      </c>
    </row>
    <row r="2054" spans="2:7" ht="11.25" outlineLevel="5" x14ac:dyDescent="0.2">
      <c r="B2054" s="14" t="s">
        <v>3918</v>
      </c>
      <c r="C2054" s="14" t="s">
        <v>3919</v>
      </c>
      <c r="D2054" s="14">
        <v>10</v>
      </c>
      <c r="E2054" s="15">
        <v>14.76</v>
      </c>
      <c r="F2054" s="16" t="s">
        <v>8</v>
      </c>
      <c r="G2054" s="14"/>
    </row>
    <row r="2055" spans="2:7" ht="11.25" outlineLevel="5" x14ac:dyDescent="0.2">
      <c r="B2055" s="14" t="s">
        <v>3920</v>
      </c>
      <c r="C2055" s="14" t="s">
        <v>3921</v>
      </c>
      <c r="D2055" s="14">
        <v>10</v>
      </c>
      <c r="E2055" s="15">
        <v>14.76</v>
      </c>
      <c r="F2055" s="16" t="s">
        <v>8</v>
      </c>
      <c r="G2055" s="14"/>
    </row>
    <row r="2056" spans="2:7" ht="11.25" outlineLevel="5" x14ac:dyDescent="0.2">
      <c r="B2056" s="14" t="s">
        <v>3922</v>
      </c>
      <c r="C2056" s="14" t="s">
        <v>3923</v>
      </c>
      <c r="D2056" s="14">
        <v>10</v>
      </c>
      <c r="E2056" s="15">
        <v>14.76</v>
      </c>
      <c r="F2056" s="16" t="s">
        <v>8</v>
      </c>
      <c r="G2056" s="14"/>
    </row>
    <row r="2057" spans="2:7" ht="11.25" outlineLevel="5" x14ac:dyDescent="0.2">
      <c r="B2057" s="14" t="s">
        <v>3924</v>
      </c>
      <c r="C2057" s="14" t="s">
        <v>3925</v>
      </c>
      <c r="D2057" s="14">
        <v>10</v>
      </c>
      <c r="E2057" s="15">
        <v>18.13</v>
      </c>
      <c r="F2057" s="16" t="s">
        <v>8</v>
      </c>
      <c r="G2057" s="38" t="str">
        <f>HYPERLINK("http://enext.ua/s016003")</f>
        <v>http://enext.ua/s016003</v>
      </c>
    </row>
    <row r="2058" spans="2:7" ht="11.25" outlineLevel="5" x14ac:dyDescent="0.2">
      <c r="B2058" s="14" t="s">
        <v>3926</v>
      </c>
      <c r="C2058" s="14" t="s">
        <v>3927</v>
      </c>
      <c r="D2058" s="14">
        <v>10</v>
      </c>
      <c r="E2058" s="15">
        <v>18.98</v>
      </c>
      <c r="F2058" s="16" t="s">
        <v>8</v>
      </c>
      <c r="G2058" s="14"/>
    </row>
    <row r="2059" spans="2:7" ht="11.25" outlineLevel="5" x14ac:dyDescent="0.2">
      <c r="B2059" s="14" t="s">
        <v>3928</v>
      </c>
      <c r="C2059" s="14" t="s">
        <v>3929</v>
      </c>
      <c r="D2059" s="14">
        <v>10</v>
      </c>
      <c r="E2059" s="15">
        <v>18.98</v>
      </c>
      <c r="F2059" s="16" t="s">
        <v>8</v>
      </c>
      <c r="G2059" s="14"/>
    </row>
    <row r="2060" spans="2:7" ht="11.25" outlineLevel="5" x14ac:dyDescent="0.2">
      <c r="B2060" s="14" t="s">
        <v>3930</v>
      </c>
      <c r="C2060" s="14" t="s">
        <v>3931</v>
      </c>
      <c r="D2060" s="14">
        <v>10</v>
      </c>
      <c r="E2060" s="15">
        <v>18.98</v>
      </c>
      <c r="F2060" s="16" t="s">
        <v>8</v>
      </c>
      <c r="G2060" s="14"/>
    </row>
    <row r="2061" spans="2:7" ht="11.25" outlineLevel="5" x14ac:dyDescent="0.2">
      <c r="B2061" s="14" t="s">
        <v>3932</v>
      </c>
      <c r="C2061" s="14" t="s">
        <v>3933</v>
      </c>
      <c r="D2061" s="14">
        <v>10</v>
      </c>
      <c r="E2061" s="15">
        <v>23.44</v>
      </c>
      <c r="F2061" s="16" t="s">
        <v>8</v>
      </c>
      <c r="G2061" s="38" t="str">
        <f>HYPERLINK("http://enext.ua/s016004")</f>
        <v>http://enext.ua/s016004</v>
      </c>
    </row>
    <row r="2062" spans="2:7" ht="11.25" outlineLevel="5" x14ac:dyDescent="0.2">
      <c r="B2062" s="14" t="s">
        <v>3934</v>
      </c>
      <c r="C2062" s="14" t="s">
        <v>3935</v>
      </c>
      <c r="D2062" s="14">
        <v>10</v>
      </c>
      <c r="E2062" s="15">
        <v>25.26</v>
      </c>
      <c r="F2062" s="16" t="s">
        <v>8</v>
      </c>
      <c r="G2062" s="14"/>
    </row>
    <row r="2063" spans="2:7" ht="11.25" outlineLevel="5" x14ac:dyDescent="0.2">
      <c r="B2063" s="14" t="s">
        <v>3936</v>
      </c>
      <c r="C2063" s="14" t="s">
        <v>3937</v>
      </c>
      <c r="D2063" s="14">
        <v>10</v>
      </c>
      <c r="E2063" s="15">
        <v>25.26</v>
      </c>
      <c r="F2063" s="16" t="s">
        <v>8</v>
      </c>
      <c r="G2063" s="14"/>
    </row>
    <row r="2064" spans="2:7" ht="11.25" outlineLevel="5" x14ac:dyDescent="0.2">
      <c r="B2064" s="14" t="s">
        <v>3938</v>
      </c>
      <c r="C2064" s="14" t="s">
        <v>3939</v>
      </c>
      <c r="D2064" s="14">
        <v>10</v>
      </c>
      <c r="E2064" s="15">
        <v>25.26</v>
      </c>
      <c r="F2064" s="16" t="s">
        <v>8</v>
      </c>
      <c r="G2064" s="14"/>
    </row>
    <row r="2065" spans="2:7" ht="11.25" outlineLevel="5" x14ac:dyDescent="0.2">
      <c r="B2065" s="14" t="s">
        <v>3940</v>
      </c>
      <c r="C2065" s="14" t="s">
        <v>3941</v>
      </c>
      <c r="D2065" s="14">
        <v>1</v>
      </c>
      <c r="E2065" s="15">
        <v>29.01</v>
      </c>
      <c r="F2065" s="16" t="s">
        <v>8</v>
      </c>
      <c r="G2065" s="38" t="str">
        <f>HYPERLINK("http://enext.ua/s016007")</f>
        <v>http://enext.ua/s016007</v>
      </c>
    </row>
    <row r="2066" spans="2:7" ht="11.25" outlineLevel="5" x14ac:dyDescent="0.2">
      <c r="B2066" s="14" t="s">
        <v>3942</v>
      </c>
      <c r="C2066" s="14" t="s">
        <v>3943</v>
      </c>
      <c r="D2066" s="14">
        <v>10</v>
      </c>
      <c r="E2066" s="15">
        <v>34.08</v>
      </c>
      <c r="F2066" s="16" t="s">
        <v>8</v>
      </c>
      <c r="G2066" s="14"/>
    </row>
    <row r="2067" spans="2:7" ht="11.25" outlineLevel="5" x14ac:dyDescent="0.2">
      <c r="B2067" s="14" t="s">
        <v>3944</v>
      </c>
      <c r="C2067" s="14" t="s">
        <v>3945</v>
      </c>
      <c r="D2067" s="14">
        <v>10</v>
      </c>
      <c r="E2067" s="15">
        <v>34.08</v>
      </c>
      <c r="F2067" s="16" t="s">
        <v>8</v>
      </c>
      <c r="G2067" s="14"/>
    </row>
    <row r="2068" spans="2:7" ht="11.25" outlineLevel="5" x14ac:dyDescent="0.2">
      <c r="B2068" s="14" t="s">
        <v>3946</v>
      </c>
      <c r="C2068" s="14" t="s">
        <v>3947</v>
      </c>
      <c r="D2068" s="14">
        <v>10</v>
      </c>
      <c r="E2068" s="15">
        <v>34.08</v>
      </c>
      <c r="F2068" s="16" t="s">
        <v>8</v>
      </c>
      <c r="G2068" s="14"/>
    </row>
    <row r="2069" spans="2:7" ht="11.25" outlineLevel="5" x14ac:dyDescent="0.2">
      <c r="B2069" s="14" t="s">
        <v>3948</v>
      </c>
      <c r="C2069" s="14" t="s">
        <v>3949</v>
      </c>
      <c r="D2069" s="14">
        <v>10</v>
      </c>
      <c r="E2069" s="15">
        <v>53.84</v>
      </c>
      <c r="F2069" s="16" t="s">
        <v>8</v>
      </c>
      <c r="G2069" s="38" t="str">
        <f>HYPERLINK("http://enext.ua/s016005")</f>
        <v>http://enext.ua/s016005</v>
      </c>
    </row>
    <row r="2070" spans="2:7" ht="11.25" outlineLevel="5" x14ac:dyDescent="0.2">
      <c r="B2070" s="14" t="s">
        <v>3950</v>
      </c>
      <c r="C2070" s="14" t="s">
        <v>3951</v>
      </c>
      <c r="D2070" s="14">
        <v>10</v>
      </c>
      <c r="E2070" s="15">
        <v>57.47</v>
      </c>
      <c r="F2070" s="16" t="s">
        <v>8</v>
      </c>
      <c r="G2070" s="14"/>
    </row>
    <row r="2071" spans="2:7" ht="11.25" outlineLevel="5" x14ac:dyDescent="0.2">
      <c r="B2071" s="14" t="s">
        <v>3952</v>
      </c>
      <c r="C2071" s="14" t="s">
        <v>3953</v>
      </c>
      <c r="D2071" s="14">
        <v>10</v>
      </c>
      <c r="E2071" s="15">
        <v>57.47</v>
      </c>
      <c r="F2071" s="16" t="s">
        <v>8</v>
      </c>
      <c r="G2071" s="14"/>
    </row>
    <row r="2072" spans="2:7" ht="11.25" outlineLevel="5" x14ac:dyDescent="0.2">
      <c r="B2072" s="14" t="s">
        <v>3954</v>
      </c>
      <c r="C2072" s="14" t="s">
        <v>3955</v>
      </c>
      <c r="D2072" s="14">
        <v>10</v>
      </c>
      <c r="E2072" s="15">
        <v>57.47</v>
      </c>
      <c r="F2072" s="16" t="s">
        <v>8</v>
      </c>
      <c r="G2072" s="14"/>
    </row>
    <row r="2073" spans="2:7" ht="11.25" outlineLevel="5" x14ac:dyDescent="0.2">
      <c r="B2073" s="14" t="s">
        <v>3956</v>
      </c>
      <c r="C2073" s="14" t="s">
        <v>3957</v>
      </c>
      <c r="D2073" s="14">
        <v>5</v>
      </c>
      <c r="E2073" s="15">
        <v>135.85</v>
      </c>
      <c r="F2073" s="16" t="s">
        <v>8</v>
      </c>
      <c r="G2073" s="38" t="str">
        <f>HYPERLINK("http://enext.ua/s016006")</f>
        <v>http://enext.ua/s016006</v>
      </c>
    </row>
    <row r="2074" spans="2:7" ht="12" outlineLevel="4" x14ac:dyDescent="0.2">
      <c r="B2074" s="12"/>
      <c r="C2074" s="37" t="s">
        <v>3958</v>
      </c>
      <c r="D2074" s="12"/>
      <c r="E2074" s="13"/>
      <c r="F2074" s="13"/>
      <c r="G2074" s="12"/>
    </row>
    <row r="2075" spans="2:7" ht="12" outlineLevel="5" x14ac:dyDescent="0.2">
      <c r="B2075" s="18"/>
      <c r="C2075" s="39" t="s">
        <v>3959</v>
      </c>
      <c r="D2075" s="18"/>
      <c r="E2075" s="19"/>
      <c r="F2075" s="19"/>
      <c r="G2075" s="18"/>
    </row>
    <row r="2076" spans="2:7" ht="11.25" outlineLevel="6" x14ac:dyDescent="0.2">
      <c r="B2076" s="14" t="s">
        <v>3960</v>
      </c>
      <c r="C2076" s="14" t="s">
        <v>3961</v>
      </c>
      <c r="D2076" s="14">
        <v>50</v>
      </c>
      <c r="E2076" s="15">
        <v>9</v>
      </c>
      <c r="F2076" s="16" t="s">
        <v>8</v>
      </c>
      <c r="G2076" s="38" t="str">
        <f>HYPERLINK("http://enext.ua/p049001")</f>
        <v>http://enext.ua/p049001</v>
      </c>
    </row>
    <row r="2077" spans="2:7" ht="11.25" outlineLevel="6" x14ac:dyDescent="0.2">
      <c r="B2077" s="14" t="s">
        <v>3962</v>
      </c>
      <c r="C2077" s="14" t="s">
        <v>3963</v>
      </c>
      <c r="D2077" s="14">
        <v>1</v>
      </c>
      <c r="E2077" s="15">
        <v>9</v>
      </c>
      <c r="F2077" s="16" t="s">
        <v>8</v>
      </c>
      <c r="G2077" s="38" t="str">
        <f>HYPERLINK("http://enext.ua/p049022")</f>
        <v>http://enext.ua/p049022</v>
      </c>
    </row>
    <row r="2078" spans="2:7" ht="11.25" outlineLevel="6" x14ac:dyDescent="0.2">
      <c r="B2078" s="14" t="s">
        <v>3964</v>
      </c>
      <c r="C2078" s="14" t="s">
        <v>3965</v>
      </c>
      <c r="D2078" s="14">
        <v>50</v>
      </c>
      <c r="E2078" s="15">
        <v>10.64</v>
      </c>
      <c r="F2078" s="16" t="s">
        <v>8</v>
      </c>
      <c r="G2078" s="38" t="str">
        <f>HYPERLINK("http://enext.ua/p049002")</f>
        <v>http://enext.ua/p049002</v>
      </c>
    </row>
    <row r="2079" spans="2:7" ht="11.25" outlineLevel="6" x14ac:dyDescent="0.2">
      <c r="B2079" s="14" t="s">
        <v>3966</v>
      </c>
      <c r="C2079" s="14" t="s">
        <v>3967</v>
      </c>
      <c r="D2079" s="14">
        <v>1</v>
      </c>
      <c r="E2079" s="15">
        <v>10.64</v>
      </c>
      <c r="F2079" s="16" t="s">
        <v>8</v>
      </c>
      <c r="G2079" s="38" t="str">
        <f>HYPERLINK("http://enext.ua/p049024")</f>
        <v>http://enext.ua/p049024</v>
      </c>
    </row>
    <row r="2080" spans="2:7" ht="11.25" outlineLevel="6" x14ac:dyDescent="0.2">
      <c r="B2080" s="14" t="s">
        <v>3968</v>
      </c>
      <c r="C2080" s="14" t="s">
        <v>3969</v>
      </c>
      <c r="D2080" s="14">
        <v>50</v>
      </c>
      <c r="E2080" s="15">
        <v>12.46</v>
      </c>
      <c r="F2080" s="16" t="s">
        <v>8</v>
      </c>
      <c r="G2080" s="38" t="str">
        <f>HYPERLINK("http://enext.ua/p049003")</f>
        <v>http://enext.ua/p049003</v>
      </c>
    </row>
    <row r="2081" spans="2:7" ht="11.25" outlineLevel="6" x14ac:dyDescent="0.2">
      <c r="B2081" s="14" t="s">
        <v>3970</v>
      </c>
      <c r="C2081" s="14" t="s">
        <v>3971</v>
      </c>
      <c r="D2081" s="14">
        <v>1</v>
      </c>
      <c r="E2081" s="15">
        <v>12.46</v>
      </c>
      <c r="F2081" s="16" t="s">
        <v>8</v>
      </c>
      <c r="G2081" s="38" t="str">
        <f>HYPERLINK("http://enext.ua/p049026")</f>
        <v>http://enext.ua/p049026</v>
      </c>
    </row>
    <row r="2082" spans="2:7" ht="11.25" outlineLevel="6" x14ac:dyDescent="0.2">
      <c r="B2082" s="14" t="s">
        <v>3972</v>
      </c>
      <c r="C2082" s="14" t="s">
        <v>3973</v>
      </c>
      <c r="D2082" s="14">
        <v>50</v>
      </c>
      <c r="E2082" s="15">
        <v>14.39</v>
      </c>
      <c r="F2082" s="16" t="s">
        <v>8</v>
      </c>
      <c r="G2082" s="38" t="str">
        <f>HYPERLINK("http://enext.ua/p049004")</f>
        <v>http://enext.ua/p049004</v>
      </c>
    </row>
    <row r="2083" spans="2:7" ht="11.25" outlineLevel="6" x14ac:dyDescent="0.2">
      <c r="B2083" s="14" t="s">
        <v>3974</v>
      </c>
      <c r="C2083" s="14" t="s">
        <v>3975</v>
      </c>
      <c r="D2083" s="14">
        <v>1</v>
      </c>
      <c r="E2083" s="15">
        <v>14.39</v>
      </c>
      <c r="F2083" s="16" t="s">
        <v>8</v>
      </c>
      <c r="G2083" s="38" t="str">
        <f>HYPERLINK("http://enext.ua/p049020")</f>
        <v>http://enext.ua/p049020</v>
      </c>
    </row>
    <row r="2084" spans="2:7" ht="11.25" outlineLevel="6" x14ac:dyDescent="0.2">
      <c r="B2084" s="14" t="s">
        <v>3976</v>
      </c>
      <c r="C2084" s="14" t="s">
        <v>3977</v>
      </c>
      <c r="D2084" s="14">
        <v>40</v>
      </c>
      <c r="E2084" s="15">
        <v>22.35</v>
      </c>
      <c r="F2084" s="16" t="s">
        <v>8</v>
      </c>
      <c r="G2084" s="38" t="str">
        <f>HYPERLINK("http://enext.ua/p049005")</f>
        <v>http://enext.ua/p049005</v>
      </c>
    </row>
    <row r="2085" spans="2:7" ht="11.25" outlineLevel="6" x14ac:dyDescent="0.2">
      <c r="B2085" s="14" t="s">
        <v>3978</v>
      </c>
      <c r="C2085" s="14" t="s">
        <v>3979</v>
      </c>
      <c r="D2085" s="14">
        <v>1</v>
      </c>
      <c r="E2085" s="15">
        <v>22.35</v>
      </c>
      <c r="F2085" s="16" t="s">
        <v>8</v>
      </c>
      <c r="G2085" s="38" t="str">
        <f>HYPERLINK("http://enext.ua/p049021")</f>
        <v>http://enext.ua/p049021</v>
      </c>
    </row>
    <row r="2086" spans="2:7" ht="11.25" outlineLevel="6" x14ac:dyDescent="0.2">
      <c r="B2086" s="14" t="s">
        <v>3980</v>
      </c>
      <c r="C2086" s="14" t="s">
        <v>3981</v>
      </c>
      <c r="D2086" s="14">
        <v>20</v>
      </c>
      <c r="E2086" s="15">
        <v>40.479999999999997</v>
      </c>
      <c r="F2086" s="16" t="s">
        <v>8</v>
      </c>
      <c r="G2086" s="38" t="str">
        <f>HYPERLINK("http://enext.ua/p049006")</f>
        <v>http://enext.ua/p049006</v>
      </c>
    </row>
    <row r="2087" spans="2:7" ht="11.25" outlineLevel="6" x14ac:dyDescent="0.2">
      <c r="B2087" s="14" t="s">
        <v>3982</v>
      </c>
      <c r="C2087" s="14" t="s">
        <v>3983</v>
      </c>
      <c r="D2087" s="14">
        <v>1</v>
      </c>
      <c r="E2087" s="15">
        <v>40.479999999999997</v>
      </c>
      <c r="F2087" s="16" t="s">
        <v>8</v>
      </c>
      <c r="G2087" s="38" t="str">
        <f>HYPERLINK("http://enext.ua/p049023")</f>
        <v>http://enext.ua/p049023</v>
      </c>
    </row>
    <row r="2088" spans="2:7" ht="11.25" outlineLevel="6" x14ac:dyDescent="0.2">
      <c r="B2088" s="14" t="s">
        <v>3984</v>
      </c>
      <c r="C2088" s="14" t="s">
        <v>3985</v>
      </c>
      <c r="D2088" s="14">
        <v>1</v>
      </c>
      <c r="E2088" s="15">
        <v>78.58</v>
      </c>
      <c r="F2088" s="16" t="s">
        <v>8</v>
      </c>
      <c r="G2088" s="38" t="str">
        <f>HYPERLINK("http://enext.ua/p049007")</f>
        <v>http://enext.ua/p049007</v>
      </c>
    </row>
    <row r="2089" spans="2:7" ht="11.25" outlineLevel="6" x14ac:dyDescent="0.2">
      <c r="B2089" s="14" t="s">
        <v>3986</v>
      </c>
      <c r="C2089" s="14" t="s">
        <v>3987</v>
      </c>
      <c r="D2089" s="14">
        <v>1</v>
      </c>
      <c r="E2089" s="15">
        <v>78.58</v>
      </c>
      <c r="F2089" s="16" t="s">
        <v>8</v>
      </c>
      <c r="G2089" s="38" t="str">
        <f>HYPERLINK("http://enext.ua/p049025")</f>
        <v>http://enext.ua/p049025</v>
      </c>
    </row>
    <row r="2090" spans="2:7" ht="11.25" outlineLevel="6" x14ac:dyDescent="0.2">
      <c r="B2090" s="14" t="s">
        <v>3988</v>
      </c>
      <c r="C2090" s="14" t="s">
        <v>3989</v>
      </c>
      <c r="D2090" s="14">
        <v>1</v>
      </c>
      <c r="E2090" s="15">
        <v>111.81</v>
      </c>
      <c r="F2090" s="16" t="s">
        <v>8</v>
      </c>
      <c r="G2090" s="38" t="str">
        <f>HYPERLINK("http://enext.ua/p049008")</f>
        <v>http://enext.ua/p049008</v>
      </c>
    </row>
    <row r="2091" spans="2:7" ht="11.25" outlineLevel="6" x14ac:dyDescent="0.2">
      <c r="B2091" s="14" t="s">
        <v>3990</v>
      </c>
      <c r="C2091" s="14" t="s">
        <v>3991</v>
      </c>
      <c r="D2091" s="14">
        <v>1</v>
      </c>
      <c r="E2091" s="15">
        <v>111.81</v>
      </c>
      <c r="F2091" s="16" t="s">
        <v>8</v>
      </c>
      <c r="G2091" s="38" t="str">
        <f>HYPERLINK("http://enext.ua/p049027")</f>
        <v>http://enext.ua/p049027</v>
      </c>
    </row>
    <row r="2092" spans="2:7" ht="11.25" outlineLevel="6" x14ac:dyDescent="0.2">
      <c r="B2092" s="14" t="s">
        <v>3992</v>
      </c>
      <c r="C2092" s="14" t="s">
        <v>3993</v>
      </c>
      <c r="D2092" s="14">
        <v>10</v>
      </c>
      <c r="E2092" s="15">
        <v>197.82</v>
      </c>
      <c r="F2092" s="16" t="s">
        <v>8</v>
      </c>
      <c r="G2092" s="38" t="str">
        <f>HYPERLINK("http://enext.ua/p049009")</f>
        <v>http://enext.ua/p049009</v>
      </c>
    </row>
    <row r="2093" spans="2:7" ht="11.25" outlineLevel="6" x14ac:dyDescent="0.2">
      <c r="B2093" s="14" t="s">
        <v>3994</v>
      </c>
      <c r="C2093" s="14" t="s">
        <v>3995</v>
      </c>
      <c r="D2093" s="14">
        <v>1</v>
      </c>
      <c r="E2093" s="15">
        <v>197.82</v>
      </c>
      <c r="F2093" s="16" t="s">
        <v>8</v>
      </c>
      <c r="G2093" s="38" t="str">
        <f>HYPERLINK("http://enext.ua/p049028")</f>
        <v>http://enext.ua/p049028</v>
      </c>
    </row>
    <row r="2094" spans="2:7" ht="11.25" outlineLevel="6" x14ac:dyDescent="0.2">
      <c r="B2094" s="14" t="s">
        <v>3996</v>
      </c>
      <c r="C2094" s="14" t="s">
        <v>3997</v>
      </c>
      <c r="D2094" s="14">
        <v>1</v>
      </c>
      <c r="E2094" s="15">
        <v>266.91000000000003</v>
      </c>
      <c r="F2094" s="16" t="s">
        <v>8</v>
      </c>
      <c r="G2094" s="38" t="str">
        <f>HYPERLINK("http://enext.ua/p049010")</f>
        <v>http://enext.ua/p049010</v>
      </c>
    </row>
    <row r="2095" spans="2:7" ht="12" outlineLevel="5" x14ac:dyDescent="0.2">
      <c r="B2095" s="18"/>
      <c r="C2095" s="39" t="s">
        <v>3998</v>
      </c>
      <c r="D2095" s="18"/>
      <c r="E2095" s="19"/>
      <c r="F2095" s="19"/>
      <c r="G2095" s="18"/>
    </row>
    <row r="2096" spans="2:7" ht="11.25" outlineLevel="6" x14ac:dyDescent="0.2">
      <c r="B2096" s="14" t="s">
        <v>3999</v>
      </c>
      <c r="C2096" s="14" t="s">
        <v>4000</v>
      </c>
      <c r="D2096" s="14">
        <v>100</v>
      </c>
      <c r="E2096" s="15">
        <v>3.07</v>
      </c>
      <c r="F2096" s="16" t="s">
        <v>8</v>
      </c>
      <c r="G2096" s="38" t="str">
        <f>HYPERLINK("http://enext.ua/p051001")</f>
        <v>http://enext.ua/p051001</v>
      </c>
    </row>
    <row r="2097" spans="2:7" ht="11.25" outlineLevel="6" x14ac:dyDescent="0.2">
      <c r="B2097" s="14" t="s">
        <v>4001</v>
      </c>
      <c r="C2097" s="14" t="s">
        <v>4002</v>
      </c>
      <c r="D2097" s="14">
        <v>100</v>
      </c>
      <c r="E2097" s="15">
        <v>3.07</v>
      </c>
      <c r="F2097" s="16" t="s">
        <v>8</v>
      </c>
      <c r="G2097" s="38" t="str">
        <f>HYPERLINK("http://enext.ua/p051002")</f>
        <v>http://enext.ua/p051002</v>
      </c>
    </row>
    <row r="2098" spans="2:7" ht="11.25" outlineLevel="6" x14ac:dyDescent="0.2">
      <c r="B2098" s="14" t="s">
        <v>4003</v>
      </c>
      <c r="C2098" s="14" t="s">
        <v>4004</v>
      </c>
      <c r="D2098" s="14">
        <v>100</v>
      </c>
      <c r="E2098" s="15">
        <v>4.18</v>
      </c>
      <c r="F2098" s="16" t="s">
        <v>8</v>
      </c>
      <c r="G2098" s="38" t="str">
        <f>HYPERLINK("http://enext.ua/p051003")</f>
        <v>http://enext.ua/p051003</v>
      </c>
    </row>
    <row r="2099" spans="2:7" ht="11.25" outlineLevel="6" x14ac:dyDescent="0.2">
      <c r="B2099" s="14" t="s">
        <v>4005</v>
      </c>
      <c r="C2099" s="14" t="s">
        <v>4006</v>
      </c>
      <c r="D2099" s="14">
        <v>100</v>
      </c>
      <c r="E2099" s="15">
        <v>6.97</v>
      </c>
      <c r="F2099" s="16" t="s">
        <v>8</v>
      </c>
      <c r="G2099" s="38" t="str">
        <f>HYPERLINK("http://enext.ua/p051004")</f>
        <v>http://enext.ua/p051004</v>
      </c>
    </row>
    <row r="2100" spans="2:7" ht="12" outlineLevel="5" x14ac:dyDescent="0.2">
      <c r="B2100" s="18"/>
      <c r="C2100" s="39" t="s">
        <v>4007</v>
      </c>
      <c r="D2100" s="18"/>
      <c r="E2100" s="19"/>
      <c r="F2100" s="19"/>
      <c r="G2100" s="18"/>
    </row>
    <row r="2101" spans="2:7" ht="11.25" outlineLevel="6" x14ac:dyDescent="0.2">
      <c r="B2101" s="14" t="s">
        <v>4008</v>
      </c>
      <c r="C2101" s="14" t="s">
        <v>4009</v>
      </c>
      <c r="D2101" s="14">
        <v>20</v>
      </c>
      <c r="E2101" s="15">
        <v>18.13</v>
      </c>
      <c r="F2101" s="16" t="s">
        <v>8</v>
      </c>
      <c r="G2101" s="38" t="str">
        <f>HYPERLINK("http://enext.ua/p050001")</f>
        <v>http://enext.ua/p050001</v>
      </c>
    </row>
    <row r="2102" spans="2:7" ht="11.25" outlineLevel="6" x14ac:dyDescent="0.2">
      <c r="B2102" s="14" t="s">
        <v>4010</v>
      </c>
      <c r="C2102" s="14" t="s">
        <v>4011</v>
      </c>
      <c r="D2102" s="14">
        <v>20</v>
      </c>
      <c r="E2102" s="15">
        <v>21.76</v>
      </c>
      <c r="F2102" s="16" t="s">
        <v>8</v>
      </c>
      <c r="G2102" s="38" t="str">
        <f>HYPERLINK("http://enext.ua/p050002")</f>
        <v>http://enext.ua/p050002</v>
      </c>
    </row>
    <row r="2103" spans="2:7" ht="11.25" outlineLevel="6" x14ac:dyDescent="0.2">
      <c r="B2103" s="14" t="s">
        <v>4012</v>
      </c>
      <c r="C2103" s="14" t="s">
        <v>4013</v>
      </c>
      <c r="D2103" s="14">
        <v>40</v>
      </c>
      <c r="E2103" s="15">
        <v>28.45</v>
      </c>
      <c r="F2103" s="16" t="s">
        <v>8</v>
      </c>
      <c r="G2103" s="38" t="str">
        <f>HYPERLINK("http://enext.ua/p050003")</f>
        <v>http://enext.ua/p050003</v>
      </c>
    </row>
    <row r="2104" spans="2:7" ht="11.25" outlineLevel="6" x14ac:dyDescent="0.2">
      <c r="B2104" s="14" t="s">
        <v>4014</v>
      </c>
      <c r="C2104" s="14" t="s">
        <v>4015</v>
      </c>
      <c r="D2104" s="14">
        <v>40</v>
      </c>
      <c r="E2104" s="15">
        <v>32.909999999999997</v>
      </c>
      <c r="F2104" s="16" t="s">
        <v>8</v>
      </c>
      <c r="G2104" s="38" t="str">
        <f>HYPERLINK("http://enext.ua/p050004")</f>
        <v>http://enext.ua/p050004</v>
      </c>
    </row>
    <row r="2105" spans="2:7" ht="11.25" outlineLevel="6" x14ac:dyDescent="0.2">
      <c r="B2105" s="14" t="s">
        <v>4016</v>
      </c>
      <c r="C2105" s="14" t="s">
        <v>4017</v>
      </c>
      <c r="D2105" s="14">
        <v>1</v>
      </c>
      <c r="E2105" s="15">
        <v>44.25</v>
      </c>
      <c r="F2105" s="16" t="s">
        <v>8</v>
      </c>
      <c r="G2105" s="38" t="str">
        <f>HYPERLINK("http://enext.ua/p050005")</f>
        <v>http://enext.ua/p050005</v>
      </c>
    </row>
    <row r="2106" spans="2:7" ht="12" outlineLevel="5" x14ac:dyDescent="0.2">
      <c r="B2106" s="18"/>
      <c r="C2106" s="39" t="s">
        <v>4018</v>
      </c>
      <c r="D2106" s="18"/>
      <c r="E2106" s="19"/>
      <c r="F2106" s="19"/>
      <c r="G2106" s="18"/>
    </row>
    <row r="2107" spans="2:7" ht="11.25" outlineLevel="6" x14ac:dyDescent="0.2">
      <c r="B2107" s="14" t="s">
        <v>4019</v>
      </c>
      <c r="C2107" s="14" t="s">
        <v>4020</v>
      </c>
      <c r="D2107" s="14">
        <v>200</v>
      </c>
      <c r="E2107" s="15">
        <v>4.7699999999999996</v>
      </c>
      <c r="F2107" s="16" t="s">
        <v>8</v>
      </c>
      <c r="G2107" s="38" t="str">
        <f>HYPERLINK("http://enext.ua/p051005")</f>
        <v>http://enext.ua/p051005</v>
      </c>
    </row>
    <row r="2108" spans="2:7" ht="11.25" outlineLevel="6" x14ac:dyDescent="0.2">
      <c r="B2108" s="14" t="s">
        <v>4021</v>
      </c>
      <c r="C2108" s="14" t="s">
        <v>4022</v>
      </c>
      <c r="D2108" s="14">
        <v>1</v>
      </c>
      <c r="E2108" s="15">
        <v>4.5</v>
      </c>
      <c r="F2108" s="16" t="s">
        <v>8</v>
      </c>
      <c r="G2108" s="38" t="str">
        <f>HYPERLINK("http://enext.ua/p051006")</f>
        <v>http://enext.ua/p051006</v>
      </c>
    </row>
    <row r="2109" spans="2:7" ht="12" outlineLevel="4" x14ac:dyDescent="0.2">
      <c r="B2109" s="12"/>
      <c r="C2109" s="37" t="s">
        <v>4023</v>
      </c>
      <c r="D2109" s="12"/>
      <c r="E2109" s="13"/>
      <c r="F2109" s="13"/>
      <c r="G2109" s="12"/>
    </row>
    <row r="2110" spans="2:7" ht="11.25" outlineLevel="5" x14ac:dyDescent="0.2">
      <c r="B2110" s="14" t="s">
        <v>4024</v>
      </c>
      <c r="C2110" s="14" t="s">
        <v>4025</v>
      </c>
      <c r="D2110" s="14">
        <v>100</v>
      </c>
      <c r="E2110" s="15">
        <v>10.039999999999999</v>
      </c>
      <c r="F2110" s="16" t="s">
        <v>8</v>
      </c>
      <c r="G2110" s="38" t="str">
        <f>HYPERLINK("http://enext.ua/p056001")</f>
        <v>http://enext.ua/p056001</v>
      </c>
    </row>
    <row r="2111" spans="2:7" ht="11.25" outlineLevel="5" x14ac:dyDescent="0.2">
      <c r="B2111" s="14" t="s">
        <v>4026</v>
      </c>
      <c r="C2111" s="14" t="s">
        <v>4027</v>
      </c>
      <c r="D2111" s="14">
        <v>100</v>
      </c>
      <c r="E2111" s="15">
        <v>11.72</v>
      </c>
      <c r="F2111" s="16" t="s">
        <v>8</v>
      </c>
      <c r="G2111" s="38" t="str">
        <f>HYPERLINK("http://enext.ua/p056002")</f>
        <v>http://enext.ua/p056002</v>
      </c>
    </row>
    <row r="2112" spans="2:7" ht="11.25" outlineLevel="5" x14ac:dyDescent="0.2">
      <c r="B2112" s="14" t="s">
        <v>4028</v>
      </c>
      <c r="C2112" s="14" t="s">
        <v>4029</v>
      </c>
      <c r="D2112" s="14">
        <v>100</v>
      </c>
      <c r="E2112" s="15">
        <v>18.13</v>
      </c>
      <c r="F2112" s="16" t="s">
        <v>8</v>
      </c>
      <c r="G2112" s="38" t="str">
        <f>HYPERLINK("http://enext.ua/p056003")</f>
        <v>http://enext.ua/p056003</v>
      </c>
    </row>
    <row r="2113" spans="2:7" ht="11.25" outlineLevel="5" x14ac:dyDescent="0.2">
      <c r="B2113" s="14" t="s">
        <v>4030</v>
      </c>
      <c r="C2113" s="14" t="s">
        <v>4031</v>
      </c>
      <c r="D2113" s="14">
        <v>50</v>
      </c>
      <c r="E2113" s="15">
        <v>28.45</v>
      </c>
      <c r="F2113" s="16" t="s">
        <v>8</v>
      </c>
      <c r="G2113" s="38" t="str">
        <f>HYPERLINK("http://enext.ua/p056004")</f>
        <v>http://enext.ua/p056004</v>
      </c>
    </row>
    <row r="2114" spans="2:7" ht="11.25" outlineLevel="5" x14ac:dyDescent="0.2">
      <c r="B2114" s="14" t="s">
        <v>4032</v>
      </c>
      <c r="C2114" s="14" t="s">
        <v>4033</v>
      </c>
      <c r="D2114" s="14">
        <v>50</v>
      </c>
      <c r="E2114" s="15">
        <v>33.47</v>
      </c>
      <c r="F2114" s="16" t="s">
        <v>8</v>
      </c>
      <c r="G2114" s="38" t="str">
        <f>HYPERLINK("http://enext.ua/p056005")</f>
        <v>http://enext.ua/p056005</v>
      </c>
    </row>
    <row r="2115" spans="2:7" ht="11.25" outlineLevel="5" x14ac:dyDescent="0.2">
      <c r="B2115" s="14" t="s">
        <v>4034</v>
      </c>
      <c r="C2115" s="14" t="s">
        <v>4035</v>
      </c>
      <c r="D2115" s="14">
        <v>50</v>
      </c>
      <c r="E2115" s="15">
        <v>16.18</v>
      </c>
      <c r="F2115" s="16" t="s">
        <v>8</v>
      </c>
      <c r="G2115" s="38" t="str">
        <f>HYPERLINK("http://enext.ua/p056006")</f>
        <v>http://enext.ua/p056006</v>
      </c>
    </row>
    <row r="2116" spans="2:7" ht="11.25" outlineLevel="5" x14ac:dyDescent="0.2">
      <c r="B2116" s="14" t="s">
        <v>4036</v>
      </c>
      <c r="C2116" s="14" t="s">
        <v>4037</v>
      </c>
      <c r="D2116" s="14">
        <v>50</v>
      </c>
      <c r="E2116" s="15">
        <v>19.25</v>
      </c>
      <c r="F2116" s="16" t="s">
        <v>8</v>
      </c>
      <c r="G2116" s="38" t="str">
        <f>HYPERLINK("http://enext.ua/p056007")</f>
        <v>http://enext.ua/p056007</v>
      </c>
    </row>
    <row r="2117" spans="2:7" ht="11.25" outlineLevel="5" x14ac:dyDescent="0.2">
      <c r="B2117" s="14" t="s">
        <v>4038</v>
      </c>
      <c r="C2117" s="14" t="s">
        <v>4039</v>
      </c>
      <c r="D2117" s="14">
        <v>50</v>
      </c>
      <c r="E2117" s="15">
        <v>29.29</v>
      </c>
      <c r="F2117" s="16" t="s">
        <v>8</v>
      </c>
      <c r="G2117" s="38" t="str">
        <f>HYPERLINK("http://enext.ua/p056008")</f>
        <v>http://enext.ua/p056008</v>
      </c>
    </row>
    <row r="2118" spans="2:7" ht="11.25" outlineLevel="5" x14ac:dyDescent="0.2">
      <c r="B2118" s="14" t="s">
        <v>4040</v>
      </c>
      <c r="C2118" s="14" t="s">
        <v>4041</v>
      </c>
      <c r="D2118" s="14">
        <v>25</v>
      </c>
      <c r="E2118" s="15">
        <v>46.03</v>
      </c>
      <c r="F2118" s="16" t="s">
        <v>8</v>
      </c>
      <c r="G2118" s="38" t="str">
        <f>HYPERLINK("http://enext.ua/p056009")</f>
        <v>http://enext.ua/p056009</v>
      </c>
    </row>
    <row r="2119" spans="2:7" ht="11.25" outlineLevel="5" x14ac:dyDescent="0.2">
      <c r="B2119" s="14" t="s">
        <v>4042</v>
      </c>
      <c r="C2119" s="14" t="s">
        <v>4043</v>
      </c>
      <c r="D2119" s="14">
        <v>25</v>
      </c>
      <c r="E2119" s="15">
        <v>55.23</v>
      </c>
      <c r="F2119" s="16" t="s">
        <v>8</v>
      </c>
      <c r="G2119" s="38" t="str">
        <f>HYPERLINK("http://enext.ua/p056010")</f>
        <v>http://enext.ua/p056010</v>
      </c>
    </row>
    <row r="2120" spans="2:7" ht="11.25" outlineLevel="5" x14ac:dyDescent="0.2">
      <c r="B2120" s="14" t="s">
        <v>4044</v>
      </c>
      <c r="C2120" s="14" t="s">
        <v>4045</v>
      </c>
      <c r="D2120" s="14">
        <v>50</v>
      </c>
      <c r="E2120" s="15">
        <v>18.13</v>
      </c>
      <c r="F2120" s="16" t="s">
        <v>8</v>
      </c>
      <c r="G2120" s="38" t="str">
        <f>HYPERLINK("http://enext.ua/p056011")</f>
        <v>http://enext.ua/p056011</v>
      </c>
    </row>
    <row r="2121" spans="2:7" ht="11.25" outlineLevel="5" x14ac:dyDescent="0.2">
      <c r="B2121" s="14" t="s">
        <v>4046</v>
      </c>
      <c r="C2121" s="14" t="s">
        <v>4047</v>
      </c>
      <c r="D2121" s="14">
        <v>50</v>
      </c>
      <c r="E2121" s="15">
        <v>29.29</v>
      </c>
      <c r="F2121" s="16" t="s">
        <v>8</v>
      </c>
      <c r="G2121" s="38" t="str">
        <f>HYPERLINK("http://enext.ua/p056012")</f>
        <v>http://enext.ua/p056012</v>
      </c>
    </row>
    <row r="2122" spans="2:7" ht="11.25" outlineLevel="5" x14ac:dyDescent="0.2">
      <c r="B2122" s="14" t="s">
        <v>4048</v>
      </c>
      <c r="C2122" s="14" t="s">
        <v>4049</v>
      </c>
      <c r="D2122" s="14">
        <v>50</v>
      </c>
      <c r="E2122" s="15">
        <v>34.590000000000003</v>
      </c>
      <c r="F2122" s="16" t="s">
        <v>8</v>
      </c>
      <c r="G2122" s="38" t="str">
        <f>HYPERLINK("http://enext.ua/p056013")</f>
        <v>http://enext.ua/p056013</v>
      </c>
    </row>
    <row r="2123" spans="2:7" ht="11.25" outlineLevel="5" x14ac:dyDescent="0.2">
      <c r="B2123" s="14" t="s">
        <v>4050</v>
      </c>
      <c r="C2123" s="14" t="s">
        <v>4051</v>
      </c>
      <c r="D2123" s="14">
        <v>25</v>
      </c>
      <c r="E2123" s="15">
        <v>66.95</v>
      </c>
      <c r="F2123" s="16" t="s">
        <v>8</v>
      </c>
      <c r="G2123" s="38" t="str">
        <f>HYPERLINK("http://enext.ua/p056014")</f>
        <v>http://enext.ua/p056014</v>
      </c>
    </row>
    <row r="2124" spans="2:7" ht="11.25" outlineLevel="5" x14ac:dyDescent="0.2">
      <c r="B2124" s="14" t="s">
        <v>4052</v>
      </c>
      <c r="C2124" s="14" t="s">
        <v>4053</v>
      </c>
      <c r="D2124" s="14">
        <v>1</v>
      </c>
      <c r="E2124" s="15">
        <v>43.51</v>
      </c>
      <c r="F2124" s="16" t="s">
        <v>8</v>
      </c>
      <c r="G2124" s="38" t="str">
        <f>HYPERLINK("http://enext.ua/p056015")</f>
        <v>http://enext.ua/p056015</v>
      </c>
    </row>
    <row r="2125" spans="2:7" ht="11.25" outlineLevel="5" x14ac:dyDescent="0.2">
      <c r="B2125" s="14" t="s">
        <v>4054</v>
      </c>
      <c r="C2125" s="14" t="s">
        <v>4055</v>
      </c>
      <c r="D2125" s="14">
        <v>50</v>
      </c>
      <c r="E2125" s="15">
        <v>52.72</v>
      </c>
      <c r="F2125" s="16" t="s">
        <v>8</v>
      </c>
      <c r="G2125" s="38" t="str">
        <f>HYPERLINK("http://enext.ua/p056016")</f>
        <v>http://enext.ua/p056016</v>
      </c>
    </row>
    <row r="2126" spans="2:7" ht="11.25" outlineLevel="5" x14ac:dyDescent="0.2">
      <c r="B2126" s="14" t="s">
        <v>4056</v>
      </c>
      <c r="C2126" s="14" t="s">
        <v>4057</v>
      </c>
      <c r="D2126" s="14">
        <v>25</v>
      </c>
      <c r="E2126" s="15">
        <v>78.66</v>
      </c>
      <c r="F2126" s="16" t="s">
        <v>8</v>
      </c>
      <c r="G2126" s="38" t="str">
        <f>HYPERLINK("http://enext.ua/p056017")</f>
        <v>http://enext.ua/p056017</v>
      </c>
    </row>
    <row r="2127" spans="2:7" ht="11.25" outlineLevel="5" x14ac:dyDescent="0.2">
      <c r="B2127" s="14" t="s">
        <v>4058</v>
      </c>
      <c r="C2127" s="14" t="s">
        <v>4059</v>
      </c>
      <c r="D2127" s="14">
        <v>25</v>
      </c>
      <c r="E2127" s="15">
        <v>102.37</v>
      </c>
      <c r="F2127" s="16" t="s">
        <v>8</v>
      </c>
      <c r="G2127" s="38" t="str">
        <f>HYPERLINK("http://enext.ua/p056018")</f>
        <v>http://enext.ua/p056018</v>
      </c>
    </row>
    <row r="2128" spans="2:7" ht="11.25" outlineLevel="5" x14ac:dyDescent="0.2">
      <c r="B2128" s="14" t="s">
        <v>4060</v>
      </c>
      <c r="C2128" s="14" t="s">
        <v>4061</v>
      </c>
      <c r="D2128" s="14">
        <v>10</v>
      </c>
      <c r="E2128" s="15">
        <v>56.35</v>
      </c>
      <c r="F2128" s="16" t="s">
        <v>8</v>
      </c>
      <c r="G2128" s="38" t="str">
        <f>HYPERLINK("http://enext.ua/p056019")</f>
        <v>http://enext.ua/p056019</v>
      </c>
    </row>
    <row r="2129" spans="2:7" ht="11.25" outlineLevel="5" x14ac:dyDescent="0.2">
      <c r="B2129" s="14" t="s">
        <v>4062</v>
      </c>
      <c r="C2129" s="14" t="s">
        <v>4063</v>
      </c>
      <c r="D2129" s="14">
        <v>10</v>
      </c>
      <c r="E2129" s="15">
        <v>78.66</v>
      </c>
      <c r="F2129" s="16" t="s">
        <v>8</v>
      </c>
      <c r="G2129" s="38" t="str">
        <f>HYPERLINK("http://enext.ua/p056020")</f>
        <v>http://enext.ua/p056020</v>
      </c>
    </row>
    <row r="2130" spans="2:7" ht="11.25" outlineLevel="5" x14ac:dyDescent="0.2">
      <c r="B2130" s="14" t="s">
        <v>4064</v>
      </c>
      <c r="C2130" s="14" t="s">
        <v>4065</v>
      </c>
      <c r="D2130" s="14">
        <v>10</v>
      </c>
      <c r="E2130" s="15">
        <v>122.18</v>
      </c>
      <c r="F2130" s="16" t="s">
        <v>8</v>
      </c>
      <c r="G2130" s="38" t="str">
        <f>HYPERLINK("http://enext.ua/p056021")</f>
        <v>http://enext.ua/p056021</v>
      </c>
    </row>
    <row r="2131" spans="2:7" ht="11.25" outlineLevel="5" x14ac:dyDescent="0.2">
      <c r="B2131" s="14" t="s">
        <v>4066</v>
      </c>
      <c r="C2131" s="14" t="s">
        <v>4067</v>
      </c>
      <c r="D2131" s="14">
        <v>10</v>
      </c>
      <c r="E2131" s="15">
        <v>244.91</v>
      </c>
      <c r="F2131" s="16" t="s">
        <v>8</v>
      </c>
      <c r="G2131" s="38" t="str">
        <f>HYPERLINK("http://enext.ua/p056022")</f>
        <v>http://enext.ua/p056022</v>
      </c>
    </row>
    <row r="2132" spans="2:7" ht="11.25" outlineLevel="5" x14ac:dyDescent="0.2">
      <c r="B2132" s="14" t="s">
        <v>4068</v>
      </c>
      <c r="C2132" s="14" t="s">
        <v>4069</v>
      </c>
      <c r="D2132" s="14">
        <v>10</v>
      </c>
      <c r="E2132" s="15">
        <v>78.66</v>
      </c>
      <c r="F2132" s="16" t="s">
        <v>8</v>
      </c>
      <c r="G2132" s="38" t="str">
        <f>HYPERLINK("http://enext.ua/p056023")</f>
        <v>http://enext.ua/p056023</v>
      </c>
    </row>
    <row r="2133" spans="2:7" ht="11.25" outlineLevel="5" x14ac:dyDescent="0.2">
      <c r="B2133" s="14" t="s">
        <v>4070</v>
      </c>
      <c r="C2133" s="14" t="s">
        <v>4071</v>
      </c>
      <c r="D2133" s="14">
        <v>10</v>
      </c>
      <c r="E2133" s="15">
        <v>100.42</v>
      </c>
      <c r="F2133" s="16" t="s">
        <v>8</v>
      </c>
      <c r="G2133" s="38" t="str">
        <f>HYPERLINK("http://enext.ua/p056024")</f>
        <v>http://enext.ua/p056024</v>
      </c>
    </row>
    <row r="2134" spans="2:7" ht="11.25" outlineLevel="5" x14ac:dyDescent="0.2">
      <c r="B2134" s="14" t="s">
        <v>4072</v>
      </c>
      <c r="C2134" s="14" t="s">
        <v>4073</v>
      </c>
      <c r="D2134" s="14">
        <v>10</v>
      </c>
      <c r="E2134" s="15">
        <v>166.81</v>
      </c>
      <c r="F2134" s="16" t="s">
        <v>8</v>
      </c>
      <c r="G2134" s="38" t="str">
        <f>HYPERLINK("http://enext.ua/p056025")</f>
        <v>http://enext.ua/p056025</v>
      </c>
    </row>
    <row r="2135" spans="2:7" ht="11.25" outlineLevel="5" x14ac:dyDescent="0.2">
      <c r="B2135" s="14" t="s">
        <v>4074</v>
      </c>
      <c r="C2135" s="14" t="s">
        <v>4075</v>
      </c>
      <c r="D2135" s="14">
        <v>10</v>
      </c>
      <c r="E2135" s="15">
        <v>333.34</v>
      </c>
      <c r="F2135" s="16" t="s">
        <v>8</v>
      </c>
      <c r="G2135" s="38" t="str">
        <f>HYPERLINK("http://enext.ua/p056026")</f>
        <v>http://enext.ua/p056026</v>
      </c>
    </row>
    <row r="2136" spans="2:7" ht="12" outlineLevel="4" x14ac:dyDescent="0.2">
      <c r="B2136" s="12"/>
      <c r="C2136" s="37" t="s">
        <v>4076</v>
      </c>
      <c r="D2136" s="12"/>
      <c r="E2136" s="13"/>
      <c r="F2136" s="13"/>
      <c r="G2136" s="12"/>
    </row>
    <row r="2137" spans="2:7" ht="11.25" outlineLevel="5" x14ac:dyDescent="0.2">
      <c r="B2137" s="14" t="s">
        <v>4077</v>
      </c>
      <c r="C2137" s="14" t="s">
        <v>4078</v>
      </c>
      <c r="D2137" s="14">
        <v>1</v>
      </c>
      <c r="E2137" s="15">
        <v>7.9</v>
      </c>
      <c r="F2137" s="16" t="s">
        <v>8</v>
      </c>
      <c r="G2137" s="38" t="str">
        <f>HYPERLINK("http://enext.ua/p0660101")</f>
        <v>http://enext.ua/p0660101</v>
      </c>
    </row>
    <row r="2138" spans="2:7" ht="11.25" outlineLevel="5" x14ac:dyDescent="0.2">
      <c r="B2138" s="14" t="s">
        <v>4079</v>
      </c>
      <c r="C2138" s="14" t="s">
        <v>4080</v>
      </c>
      <c r="D2138" s="14">
        <v>1</v>
      </c>
      <c r="E2138" s="15">
        <v>11.7</v>
      </c>
      <c r="F2138" s="16" t="s">
        <v>8</v>
      </c>
      <c r="G2138" s="38" t="str">
        <f>HYPERLINK("http://enext.ua/p0660102")</f>
        <v>http://enext.ua/p0660102</v>
      </c>
    </row>
    <row r="2139" spans="2:7" ht="11.25" outlineLevel="5" x14ac:dyDescent="0.2">
      <c r="B2139" s="14" t="s">
        <v>4081</v>
      </c>
      <c r="C2139" s="14" t="s">
        <v>4082</v>
      </c>
      <c r="D2139" s="14">
        <v>1</v>
      </c>
      <c r="E2139" s="15">
        <v>14.94</v>
      </c>
      <c r="F2139" s="16" t="s">
        <v>8</v>
      </c>
      <c r="G2139" s="38" t="str">
        <f>HYPERLINK("http://enext.ua/p0660103")</f>
        <v>http://enext.ua/p0660103</v>
      </c>
    </row>
    <row r="2140" spans="2:7" ht="11.25" outlineLevel="5" x14ac:dyDescent="0.2">
      <c r="B2140" s="14" t="s">
        <v>4083</v>
      </c>
      <c r="C2140" s="14" t="s">
        <v>4084</v>
      </c>
      <c r="D2140" s="14">
        <v>1</v>
      </c>
      <c r="E2140" s="15">
        <v>7.53</v>
      </c>
      <c r="F2140" s="16" t="s">
        <v>8</v>
      </c>
      <c r="G2140" s="38" t="str">
        <f>HYPERLINK("http://enext.ua/p0660001")</f>
        <v>http://enext.ua/p0660001</v>
      </c>
    </row>
    <row r="2141" spans="2:7" ht="11.25" outlineLevel="5" x14ac:dyDescent="0.2">
      <c r="B2141" s="14" t="s">
        <v>4085</v>
      </c>
      <c r="C2141" s="14" t="s">
        <v>4086</v>
      </c>
      <c r="D2141" s="14">
        <v>1</v>
      </c>
      <c r="E2141" s="15">
        <v>11.16</v>
      </c>
      <c r="F2141" s="16" t="s">
        <v>8</v>
      </c>
      <c r="G2141" s="38" t="str">
        <f>HYPERLINK("http://enext.ua/p0660002")</f>
        <v>http://enext.ua/p0660002</v>
      </c>
    </row>
    <row r="2142" spans="2:7" ht="11.25" outlineLevel="5" x14ac:dyDescent="0.2">
      <c r="B2142" s="14" t="s">
        <v>4087</v>
      </c>
      <c r="C2142" s="14" t="s">
        <v>4088</v>
      </c>
      <c r="D2142" s="14">
        <v>1</v>
      </c>
      <c r="E2142" s="15">
        <v>14.23</v>
      </c>
      <c r="F2142" s="16" t="s">
        <v>8</v>
      </c>
      <c r="G2142" s="38" t="str">
        <f>HYPERLINK("http://enext.ua/p0660003")</f>
        <v>http://enext.ua/p0660003</v>
      </c>
    </row>
    <row r="2143" spans="2:7" ht="12" outlineLevel="4" x14ac:dyDescent="0.2">
      <c r="B2143" s="12"/>
      <c r="C2143" s="37" t="s">
        <v>4089</v>
      </c>
      <c r="D2143" s="12"/>
      <c r="E2143" s="13"/>
      <c r="F2143" s="13"/>
      <c r="G2143" s="12"/>
    </row>
    <row r="2144" spans="2:7" ht="11.25" outlineLevel="5" x14ac:dyDescent="0.2">
      <c r="B2144" s="14" t="s">
        <v>4090</v>
      </c>
      <c r="C2144" s="14" t="s">
        <v>4091</v>
      </c>
      <c r="D2144" s="14">
        <v>1</v>
      </c>
      <c r="E2144" s="15">
        <v>37.67</v>
      </c>
      <c r="F2144" s="16" t="s">
        <v>4092</v>
      </c>
      <c r="G2144" s="14"/>
    </row>
    <row r="2145" spans="2:7" ht="11.25" outlineLevel="5" x14ac:dyDescent="0.2">
      <c r="B2145" s="14" t="s">
        <v>4093</v>
      </c>
      <c r="C2145" s="14" t="s">
        <v>4094</v>
      </c>
      <c r="D2145" s="14">
        <v>1</v>
      </c>
      <c r="E2145" s="15">
        <v>55.79</v>
      </c>
      <c r="F2145" s="16" t="s">
        <v>4092</v>
      </c>
      <c r="G2145" s="14"/>
    </row>
    <row r="2146" spans="2:7" ht="11.25" outlineLevel="5" x14ac:dyDescent="0.2">
      <c r="B2146" s="14" t="s">
        <v>4095</v>
      </c>
      <c r="C2146" s="14" t="s">
        <v>4096</v>
      </c>
      <c r="D2146" s="14">
        <v>1</v>
      </c>
      <c r="E2146" s="15">
        <v>71.16</v>
      </c>
      <c r="F2146" s="16" t="s">
        <v>4092</v>
      </c>
      <c r="G2146" s="14"/>
    </row>
    <row r="2147" spans="2:7" ht="12" outlineLevel="4" x14ac:dyDescent="0.2">
      <c r="B2147" s="12"/>
      <c r="C2147" s="37" t="s">
        <v>4097</v>
      </c>
      <c r="D2147" s="12"/>
      <c r="E2147" s="13"/>
      <c r="F2147" s="13"/>
      <c r="G2147" s="12"/>
    </row>
    <row r="2148" spans="2:7" ht="11.25" outlineLevel="5" x14ac:dyDescent="0.2">
      <c r="B2148" s="14" t="s">
        <v>4098</v>
      </c>
      <c r="C2148" s="14" t="s">
        <v>4099</v>
      </c>
      <c r="D2148" s="14">
        <v>20</v>
      </c>
      <c r="E2148" s="15">
        <v>14.79</v>
      </c>
      <c r="F2148" s="16" t="s">
        <v>8</v>
      </c>
      <c r="G2148" s="38" t="str">
        <f>HYPERLINK("http://enext.ua/s2039001")</f>
        <v>http://enext.ua/s2039001</v>
      </c>
    </row>
    <row r="2149" spans="2:7" ht="11.25" outlineLevel="5" x14ac:dyDescent="0.2">
      <c r="B2149" s="14" t="s">
        <v>4100</v>
      </c>
      <c r="C2149" s="14" t="s">
        <v>4101</v>
      </c>
      <c r="D2149" s="14">
        <v>10</v>
      </c>
      <c r="E2149" s="15">
        <v>25.18</v>
      </c>
      <c r="F2149" s="16" t="s">
        <v>8</v>
      </c>
      <c r="G2149" s="38" t="str">
        <f>HYPERLINK("http://enext.ua/s2039002")</f>
        <v>http://enext.ua/s2039002</v>
      </c>
    </row>
    <row r="2150" spans="2:7" ht="11.25" outlineLevel="5" x14ac:dyDescent="0.2">
      <c r="B2150" s="14" t="s">
        <v>4102</v>
      </c>
      <c r="C2150" s="14" t="s">
        <v>4103</v>
      </c>
      <c r="D2150" s="14">
        <v>10</v>
      </c>
      <c r="E2150" s="15">
        <v>37.64</v>
      </c>
      <c r="F2150" s="16" t="s">
        <v>8</v>
      </c>
      <c r="G2150" s="38" t="str">
        <f>HYPERLINK("http://enext.ua/s2039003")</f>
        <v>http://enext.ua/s2039003</v>
      </c>
    </row>
    <row r="2151" spans="2:7" ht="11.25" outlineLevel="5" x14ac:dyDescent="0.2">
      <c r="B2151" s="14" t="s">
        <v>4104</v>
      </c>
      <c r="C2151" s="14" t="s">
        <v>4105</v>
      </c>
      <c r="D2151" s="14">
        <v>20</v>
      </c>
      <c r="E2151" s="15">
        <v>69.959999999999994</v>
      </c>
      <c r="F2151" s="16" t="s">
        <v>8</v>
      </c>
      <c r="G2151" s="38" t="str">
        <f>HYPERLINK("http://enext.ua/s2039004")</f>
        <v>http://enext.ua/s2039004</v>
      </c>
    </row>
    <row r="2152" spans="2:7" ht="12" outlineLevel="4" x14ac:dyDescent="0.2">
      <c r="B2152" s="12"/>
      <c r="C2152" s="37" t="s">
        <v>4106</v>
      </c>
      <c r="D2152" s="12"/>
      <c r="E2152" s="13"/>
      <c r="F2152" s="13"/>
      <c r="G2152" s="12"/>
    </row>
    <row r="2153" spans="2:7" ht="12" outlineLevel="5" x14ac:dyDescent="0.2">
      <c r="B2153" s="18"/>
      <c r="C2153" s="39" t="s">
        <v>4107</v>
      </c>
      <c r="D2153" s="18"/>
      <c r="E2153" s="19"/>
      <c r="F2153" s="19"/>
      <c r="G2153" s="18"/>
    </row>
    <row r="2154" spans="2:7" ht="11.25" outlineLevel="6" x14ac:dyDescent="0.2">
      <c r="B2154" s="14" t="s">
        <v>4108</v>
      </c>
      <c r="C2154" s="14" t="s">
        <v>4109</v>
      </c>
      <c r="D2154" s="14">
        <v>1</v>
      </c>
      <c r="E2154" s="15">
        <v>17.45</v>
      </c>
      <c r="F2154" s="16" t="s">
        <v>4092</v>
      </c>
      <c r="G2154" s="14"/>
    </row>
    <row r="2155" spans="2:7" ht="11.25" outlineLevel="6" x14ac:dyDescent="0.2">
      <c r="B2155" s="14" t="s">
        <v>4110</v>
      </c>
      <c r="C2155" s="14" t="s">
        <v>4111</v>
      </c>
      <c r="D2155" s="14">
        <v>1</v>
      </c>
      <c r="E2155" s="15">
        <v>24.13</v>
      </c>
      <c r="F2155" s="16" t="s">
        <v>4092</v>
      </c>
      <c r="G2155" s="14"/>
    </row>
    <row r="2156" spans="2:7" ht="11.25" outlineLevel="6" x14ac:dyDescent="0.2">
      <c r="B2156" s="14" t="s">
        <v>4112</v>
      </c>
      <c r="C2156" s="14" t="s">
        <v>4113</v>
      </c>
      <c r="D2156" s="14">
        <v>1</v>
      </c>
      <c r="E2156" s="15">
        <v>29.51</v>
      </c>
      <c r="F2156" s="16" t="s">
        <v>4092</v>
      </c>
      <c r="G2156" s="14"/>
    </row>
    <row r="2157" spans="2:7" ht="11.25" outlineLevel="6" x14ac:dyDescent="0.2">
      <c r="B2157" s="14" t="s">
        <v>4114</v>
      </c>
      <c r="C2157" s="14" t="s">
        <v>4115</v>
      </c>
      <c r="D2157" s="14">
        <v>1</v>
      </c>
      <c r="E2157" s="15">
        <v>33.5</v>
      </c>
      <c r="F2157" s="16" t="s">
        <v>4092</v>
      </c>
      <c r="G2157" s="14"/>
    </row>
    <row r="2158" spans="2:7" ht="11.25" outlineLevel="5" x14ac:dyDescent="0.2">
      <c r="B2158" s="14" t="s">
        <v>4116</v>
      </c>
      <c r="C2158" s="14" t="s">
        <v>4117</v>
      </c>
      <c r="D2158" s="14">
        <v>1</v>
      </c>
      <c r="E2158" s="15">
        <v>3.63</v>
      </c>
      <c r="F2158" s="16" t="s">
        <v>8</v>
      </c>
      <c r="G2158" s="38" t="str">
        <f>HYPERLINK("http://enext.ua/p0670001")</f>
        <v>http://enext.ua/p0670001</v>
      </c>
    </row>
    <row r="2159" spans="2:7" ht="11.25" outlineLevel="5" x14ac:dyDescent="0.2">
      <c r="B2159" s="14" t="s">
        <v>4118</v>
      </c>
      <c r="C2159" s="14" t="s">
        <v>4119</v>
      </c>
      <c r="D2159" s="14">
        <v>1</v>
      </c>
      <c r="E2159" s="15">
        <v>5.0199999999999996</v>
      </c>
      <c r="F2159" s="16" t="s">
        <v>8</v>
      </c>
      <c r="G2159" s="38" t="str">
        <f>HYPERLINK("http://enext.ua/p0670002")</f>
        <v>http://enext.ua/p0670002</v>
      </c>
    </row>
    <row r="2160" spans="2:7" ht="11.25" outlineLevel="5" x14ac:dyDescent="0.2">
      <c r="B2160" s="14" t="s">
        <v>4120</v>
      </c>
      <c r="C2160" s="14" t="s">
        <v>4121</v>
      </c>
      <c r="D2160" s="14">
        <v>1</v>
      </c>
      <c r="E2160" s="15">
        <v>6.14</v>
      </c>
      <c r="F2160" s="16" t="s">
        <v>8</v>
      </c>
      <c r="G2160" s="38" t="str">
        <f>HYPERLINK("http://enext.ua/p0670003")</f>
        <v>http://enext.ua/p0670003</v>
      </c>
    </row>
    <row r="2161" spans="2:7" ht="11.25" outlineLevel="5" x14ac:dyDescent="0.2">
      <c r="B2161" s="14" t="s">
        <v>4122</v>
      </c>
      <c r="C2161" s="14" t="s">
        <v>4123</v>
      </c>
      <c r="D2161" s="14">
        <v>1</v>
      </c>
      <c r="E2161" s="15">
        <v>6.97</v>
      </c>
      <c r="F2161" s="16" t="s">
        <v>8</v>
      </c>
      <c r="G2161" s="38" t="str">
        <f>HYPERLINK("http://enext.ua/p0670004")</f>
        <v>http://enext.ua/p0670004</v>
      </c>
    </row>
    <row r="2162" spans="2:7" ht="12" outlineLevel="4" x14ac:dyDescent="0.2">
      <c r="B2162" s="12"/>
      <c r="C2162" s="37" t="s">
        <v>4124</v>
      </c>
      <c r="D2162" s="12"/>
      <c r="E2162" s="13"/>
      <c r="F2162" s="13"/>
      <c r="G2162" s="12"/>
    </row>
    <row r="2163" spans="2:7" ht="22.5" outlineLevel="5" x14ac:dyDescent="0.2">
      <c r="B2163" s="14" t="s">
        <v>4125</v>
      </c>
      <c r="C2163" s="14" t="s">
        <v>4126</v>
      </c>
      <c r="D2163" s="14">
        <v>1</v>
      </c>
      <c r="E2163" s="15">
        <v>119.13</v>
      </c>
      <c r="F2163" s="16" t="s">
        <v>8</v>
      </c>
      <c r="G2163" s="38" t="str">
        <f>HYPERLINK("http://enext.ua/p0820001")</f>
        <v>http://enext.ua/p0820001</v>
      </c>
    </row>
    <row r="2164" spans="2:7" ht="22.5" outlineLevel="5" x14ac:dyDescent="0.2">
      <c r="B2164" s="14" t="s">
        <v>4127</v>
      </c>
      <c r="C2164" s="14" t="s">
        <v>4128</v>
      </c>
      <c r="D2164" s="14">
        <v>1</v>
      </c>
      <c r="E2164" s="15">
        <v>129.05000000000001</v>
      </c>
      <c r="F2164" s="16" t="s">
        <v>8</v>
      </c>
      <c r="G2164" s="38" t="str">
        <f>HYPERLINK("http://enext.ua/p0820002")</f>
        <v>http://enext.ua/p0820002</v>
      </c>
    </row>
    <row r="2165" spans="2:7" ht="22.5" outlineLevel="5" x14ac:dyDescent="0.2">
      <c r="B2165" s="14" t="s">
        <v>4129</v>
      </c>
      <c r="C2165" s="14" t="s">
        <v>4130</v>
      </c>
      <c r="D2165" s="14">
        <v>1</v>
      </c>
      <c r="E2165" s="15">
        <v>211.31</v>
      </c>
      <c r="F2165" s="16" t="s">
        <v>8</v>
      </c>
      <c r="G2165" s="38" t="str">
        <f>HYPERLINK("http://enext.ua/p0820003")</f>
        <v>http://enext.ua/p0820003</v>
      </c>
    </row>
    <row r="2166" spans="2:7" ht="22.5" outlineLevel="5" x14ac:dyDescent="0.2">
      <c r="B2166" s="14" t="s">
        <v>4131</v>
      </c>
      <c r="C2166" s="14" t="s">
        <v>4132</v>
      </c>
      <c r="D2166" s="14">
        <v>1</v>
      </c>
      <c r="E2166" s="15">
        <v>221.24</v>
      </c>
      <c r="F2166" s="16" t="s">
        <v>8</v>
      </c>
      <c r="G2166" s="38" t="str">
        <f>HYPERLINK("http://enext.ua/p0820004")</f>
        <v>http://enext.ua/p0820004</v>
      </c>
    </row>
    <row r="2167" spans="2:7" ht="22.5" outlineLevel="5" x14ac:dyDescent="0.2">
      <c r="B2167" s="14" t="s">
        <v>4133</v>
      </c>
      <c r="C2167" s="14" t="s">
        <v>4134</v>
      </c>
      <c r="D2167" s="14">
        <v>1</v>
      </c>
      <c r="E2167" s="15">
        <v>68.069999999999993</v>
      </c>
      <c r="F2167" s="16" t="s">
        <v>8</v>
      </c>
      <c r="G2167" s="38" t="str">
        <f>HYPERLINK("http://enext.ua/p0820005")</f>
        <v>http://enext.ua/p0820005</v>
      </c>
    </row>
    <row r="2168" spans="2:7" ht="22.5" outlineLevel="5" x14ac:dyDescent="0.2">
      <c r="B2168" s="14" t="s">
        <v>4135</v>
      </c>
      <c r="C2168" s="14" t="s">
        <v>4136</v>
      </c>
      <c r="D2168" s="14">
        <v>1</v>
      </c>
      <c r="E2168" s="15">
        <v>92.18</v>
      </c>
      <c r="F2168" s="16" t="s">
        <v>8</v>
      </c>
      <c r="G2168" s="38" t="str">
        <f>HYPERLINK("http://enext.ua/p0820006")</f>
        <v>http://enext.ua/p0820006</v>
      </c>
    </row>
    <row r="2169" spans="2:7" ht="12" outlineLevel="3" x14ac:dyDescent="0.2">
      <c r="B2169" s="10"/>
      <c r="C2169" s="36" t="s">
        <v>4137</v>
      </c>
      <c r="D2169" s="10"/>
      <c r="E2169" s="11"/>
      <c r="F2169" s="11"/>
      <c r="G2169" s="10"/>
    </row>
    <row r="2170" spans="2:7" ht="12" outlineLevel="4" x14ac:dyDescent="0.2">
      <c r="B2170" s="12"/>
      <c r="C2170" s="37" t="s">
        <v>4138</v>
      </c>
      <c r="D2170" s="12"/>
      <c r="E2170" s="13"/>
      <c r="F2170" s="13"/>
      <c r="G2170" s="12"/>
    </row>
    <row r="2171" spans="2:7" ht="11.25" outlineLevel="5" x14ac:dyDescent="0.2">
      <c r="B2171" s="14" t="s">
        <v>4139</v>
      </c>
      <c r="C2171" s="14" t="s">
        <v>4140</v>
      </c>
      <c r="D2171" s="14">
        <v>20</v>
      </c>
      <c r="E2171" s="15">
        <v>20.37</v>
      </c>
      <c r="F2171" s="16" t="s">
        <v>8</v>
      </c>
      <c r="G2171" s="38" t="str">
        <f>HYPERLINK("http://enext.ua/s056001")</f>
        <v>http://enext.ua/s056001</v>
      </c>
    </row>
    <row r="2172" spans="2:7" ht="22.5" outlineLevel="5" x14ac:dyDescent="0.2">
      <c r="B2172" s="14" t="s">
        <v>4141</v>
      </c>
      <c r="C2172" s="14" t="s">
        <v>4142</v>
      </c>
      <c r="D2172" s="14">
        <v>200</v>
      </c>
      <c r="E2172" s="15">
        <v>18.690000000000001</v>
      </c>
      <c r="F2172" s="16" t="s">
        <v>8</v>
      </c>
      <c r="G2172" s="14"/>
    </row>
    <row r="2173" spans="2:7" ht="11.25" outlineLevel="5" x14ac:dyDescent="0.2">
      <c r="B2173" s="14" t="s">
        <v>4143</v>
      </c>
      <c r="C2173" s="14" t="s">
        <v>4144</v>
      </c>
      <c r="D2173" s="14">
        <v>100</v>
      </c>
      <c r="E2173" s="15">
        <v>34.590000000000003</v>
      </c>
      <c r="F2173" s="16" t="s">
        <v>8</v>
      </c>
      <c r="G2173" s="38" t="str">
        <f>HYPERLINK("http://enext.ua/s056002")</f>
        <v>http://enext.ua/s056002</v>
      </c>
    </row>
    <row r="2174" spans="2:7" ht="22.5" outlineLevel="5" x14ac:dyDescent="0.2">
      <c r="B2174" s="14" t="s">
        <v>4145</v>
      </c>
      <c r="C2174" s="14" t="s">
        <v>4146</v>
      </c>
      <c r="D2174" s="14">
        <v>1</v>
      </c>
      <c r="E2174" s="15">
        <v>29.85</v>
      </c>
      <c r="F2174" s="16" t="s">
        <v>8</v>
      </c>
      <c r="G2174" s="14"/>
    </row>
    <row r="2175" spans="2:7" ht="11.25" outlineLevel="5" x14ac:dyDescent="0.2">
      <c r="B2175" s="14" t="s">
        <v>4147</v>
      </c>
      <c r="C2175" s="14" t="s">
        <v>4148</v>
      </c>
      <c r="D2175" s="14">
        <v>20</v>
      </c>
      <c r="E2175" s="15">
        <v>45.96</v>
      </c>
      <c r="F2175" s="16" t="s">
        <v>8</v>
      </c>
      <c r="G2175" s="38" t="str">
        <f>HYPERLINK("http://enext.ua/s056004")</f>
        <v>http://enext.ua/s056004</v>
      </c>
    </row>
    <row r="2176" spans="2:7" ht="11.25" outlineLevel="5" x14ac:dyDescent="0.2">
      <c r="B2176" s="14" t="s">
        <v>4149</v>
      </c>
      <c r="C2176" s="14" t="s">
        <v>4150</v>
      </c>
      <c r="D2176" s="14">
        <v>100</v>
      </c>
      <c r="E2176" s="15">
        <v>25.95</v>
      </c>
      <c r="F2176" s="16" t="s">
        <v>8</v>
      </c>
      <c r="G2176" s="38" t="str">
        <f>HYPERLINK("http://enext.ua/s056003")</f>
        <v>http://enext.ua/s056003</v>
      </c>
    </row>
    <row r="2177" spans="2:7" ht="11.25" outlineLevel="5" x14ac:dyDescent="0.2">
      <c r="B2177" s="14" t="s">
        <v>4151</v>
      </c>
      <c r="C2177" s="14" t="s">
        <v>4152</v>
      </c>
      <c r="D2177" s="14">
        <v>1</v>
      </c>
      <c r="E2177" s="15">
        <v>3.07</v>
      </c>
      <c r="F2177" s="16" t="s">
        <v>8</v>
      </c>
      <c r="G2177" s="38" t="str">
        <f>HYPERLINK("http://enext.ua/s056005")</f>
        <v>http://enext.ua/s056005</v>
      </c>
    </row>
    <row r="2178" spans="2:7" ht="12" outlineLevel="4" x14ac:dyDescent="0.2">
      <c r="B2178" s="12"/>
      <c r="C2178" s="37" t="s">
        <v>4153</v>
      </c>
      <c r="D2178" s="12"/>
      <c r="E2178" s="13"/>
      <c r="F2178" s="13"/>
      <c r="G2178" s="12"/>
    </row>
    <row r="2179" spans="2:7" ht="11.25" outlineLevel="5" x14ac:dyDescent="0.2">
      <c r="B2179" s="14" t="s">
        <v>4154</v>
      </c>
      <c r="C2179" s="14" t="s">
        <v>4155</v>
      </c>
      <c r="D2179" s="14">
        <v>50</v>
      </c>
      <c r="E2179" s="15">
        <v>13.11</v>
      </c>
      <c r="F2179" s="16" t="s">
        <v>8</v>
      </c>
      <c r="G2179" s="38" t="str">
        <f>HYPERLINK("http://enext.ua/s055001")</f>
        <v>http://enext.ua/s055001</v>
      </c>
    </row>
    <row r="2180" spans="2:7" ht="11.25" outlineLevel="5" x14ac:dyDescent="0.2">
      <c r="B2180" s="14" t="s">
        <v>4156</v>
      </c>
      <c r="C2180" s="14" t="s">
        <v>4157</v>
      </c>
      <c r="D2180" s="14">
        <v>20</v>
      </c>
      <c r="E2180" s="15">
        <v>16.18</v>
      </c>
      <c r="F2180" s="16" t="s">
        <v>8</v>
      </c>
      <c r="G2180" s="38" t="str">
        <f>HYPERLINK("http://enext.ua/s055002")</f>
        <v>http://enext.ua/s055002</v>
      </c>
    </row>
    <row r="2181" spans="2:7" ht="11.25" outlineLevel="5" x14ac:dyDescent="0.2">
      <c r="B2181" s="14" t="s">
        <v>4158</v>
      </c>
      <c r="C2181" s="14" t="s">
        <v>4159</v>
      </c>
      <c r="D2181" s="14">
        <v>20</v>
      </c>
      <c r="E2181" s="15">
        <v>20.37</v>
      </c>
      <c r="F2181" s="16" t="s">
        <v>8</v>
      </c>
      <c r="G2181" s="38" t="str">
        <f>HYPERLINK("http://enext.ua/s055003")</f>
        <v>http://enext.ua/s055003</v>
      </c>
    </row>
    <row r="2182" spans="2:7" ht="11.25" outlineLevel="5" x14ac:dyDescent="0.2">
      <c r="B2182" s="14" t="s">
        <v>4160</v>
      </c>
      <c r="C2182" s="14" t="s">
        <v>4161</v>
      </c>
      <c r="D2182" s="14">
        <v>20</v>
      </c>
      <c r="E2182" s="15">
        <v>25.95</v>
      </c>
      <c r="F2182" s="16" t="s">
        <v>8</v>
      </c>
      <c r="G2182" s="38" t="str">
        <f>HYPERLINK("http://enext.ua/s055004")</f>
        <v>http://enext.ua/s055004</v>
      </c>
    </row>
    <row r="2183" spans="2:7" ht="11.25" outlineLevel="5" x14ac:dyDescent="0.2">
      <c r="B2183" s="14" t="s">
        <v>4162</v>
      </c>
      <c r="C2183" s="14" t="s">
        <v>4163</v>
      </c>
      <c r="D2183" s="14">
        <v>20</v>
      </c>
      <c r="E2183" s="15">
        <v>28.45</v>
      </c>
      <c r="F2183" s="16" t="s">
        <v>8</v>
      </c>
      <c r="G2183" s="38" t="str">
        <f>HYPERLINK("http://enext.ua/s055005")</f>
        <v>http://enext.ua/s055005</v>
      </c>
    </row>
    <row r="2184" spans="2:7" ht="11.25" outlineLevel="5" x14ac:dyDescent="0.2">
      <c r="B2184" s="14" t="s">
        <v>4164</v>
      </c>
      <c r="C2184" s="14" t="s">
        <v>4165</v>
      </c>
      <c r="D2184" s="14">
        <v>20</v>
      </c>
      <c r="E2184" s="15">
        <v>34.869999999999997</v>
      </c>
      <c r="F2184" s="16" t="s">
        <v>8</v>
      </c>
      <c r="G2184" s="38" t="str">
        <f>HYPERLINK("http://enext.ua/s055006")</f>
        <v>http://enext.ua/s055006</v>
      </c>
    </row>
    <row r="2185" spans="2:7" ht="11.25" outlineLevel="5" x14ac:dyDescent="0.2">
      <c r="B2185" s="14" t="s">
        <v>4166</v>
      </c>
      <c r="C2185" s="14" t="s">
        <v>4167</v>
      </c>
      <c r="D2185" s="14">
        <v>20</v>
      </c>
      <c r="E2185" s="15">
        <v>39.049999999999997</v>
      </c>
      <c r="F2185" s="16" t="s">
        <v>8</v>
      </c>
      <c r="G2185" s="38" t="str">
        <f>HYPERLINK("http://enext.ua/s055007")</f>
        <v>http://enext.ua/s055007</v>
      </c>
    </row>
    <row r="2186" spans="2:7" ht="11.25" outlineLevel="5" x14ac:dyDescent="0.2">
      <c r="B2186" s="14" t="s">
        <v>4168</v>
      </c>
      <c r="C2186" s="14" t="s">
        <v>4169</v>
      </c>
      <c r="D2186" s="14">
        <v>100</v>
      </c>
      <c r="E2186" s="15">
        <v>10.039999999999999</v>
      </c>
      <c r="F2186" s="16" t="s">
        <v>8</v>
      </c>
      <c r="G2186" s="38" t="str">
        <f>HYPERLINK("http://enext.ua/s055008")</f>
        <v>http://enext.ua/s055008</v>
      </c>
    </row>
    <row r="2187" spans="2:7" ht="12" outlineLevel="4" x14ac:dyDescent="0.2">
      <c r="B2187" s="12"/>
      <c r="C2187" s="37" t="s">
        <v>4170</v>
      </c>
      <c r="D2187" s="12"/>
      <c r="E2187" s="13"/>
      <c r="F2187" s="13"/>
      <c r="G2187" s="12"/>
    </row>
    <row r="2188" spans="2:7" ht="11.25" outlineLevel="5" x14ac:dyDescent="0.2">
      <c r="B2188" s="14" t="s">
        <v>4171</v>
      </c>
      <c r="C2188" s="14" t="s">
        <v>4172</v>
      </c>
      <c r="D2188" s="14">
        <v>20</v>
      </c>
      <c r="E2188" s="15">
        <v>27.89</v>
      </c>
      <c r="F2188" s="16" t="s">
        <v>8</v>
      </c>
      <c r="G2188" s="38" t="str">
        <f>HYPERLINK("http://enext.ua/s025001")</f>
        <v>http://enext.ua/s025001</v>
      </c>
    </row>
    <row r="2189" spans="2:7" ht="11.25" outlineLevel="5" x14ac:dyDescent="0.2">
      <c r="B2189" s="14" t="s">
        <v>4173</v>
      </c>
      <c r="C2189" s="14" t="s">
        <v>4174</v>
      </c>
      <c r="D2189" s="14">
        <v>20</v>
      </c>
      <c r="E2189" s="15">
        <v>27.89</v>
      </c>
      <c r="F2189" s="16" t="s">
        <v>8</v>
      </c>
      <c r="G2189" s="38" t="str">
        <f>HYPERLINK("http://enext.ua/s025004")</f>
        <v>http://enext.ua/s025004</v>
      </c>
    </row>
    <row r="2190" spans="2:7" ht="11.25" outlineLevel="5" x14ac:dyDescent="0.2">
      <c r="B2190" s="14" t="s">
        <v>4175</v>
      </c>
      <c r="C2190" s="14" t="s">
        <v>4176</v>
      </c>
      <c r="D2190" s="14">
        <v>20</v>
      </c>
      <c r="E2190" s="15">
        <v>34.590000000000003</v>
      </c>
      <c r="F2190" s="16" t="s">
        <v>8</v>
      </c>
      <c r="G2190" s="38" t="str">
        <f>HYPERLINK("http://enext.ua/s025002")</f>
        <v>http://enext.ua/s025002</v>
      </c>
    </row>
    <row r="2191" spans="2:7" ht="11.25" outlineLevel="5" x14ac:dyDescent="0.2">
      <c r="B2191" s="14" t="s">
        <v>4177</v>
      </c>
      <c r="C2191" s="14" t="s">
        <v>4178</v>
      </c>
      <c r="D2191" s="14">
        <v>20</v>
      </c>
      <c r="E2191" s="15">
        <v>45.75</v>
      </c>
      <c r="F2191" s="16" t="s">
        <v>8</v>
      </c>
      <c r="G2191" s="38" t="str">
        <f>HYPERLINK("http://enext.ua/s025003")</f>
        <v>http://enext.ua/s025003</v>
      </c>
    </row>
    <row r="2192" spans="2:7" ht="12" outlineLevel="4" x14ac:dyDescent="0.2">
      <c r="B2192" s="12"/>
      <c r="C2192" s="37" t="s">
        <v>4179</v>
      </c>
      <c r="D2192" s="12"/>
      <c r="E2192" s="13"/>
      <c r="F2192" s="13"/>
      <c r="G2192" s="12"/>
    </row>
    <row r="2193" spans="2:7" ht="11.25" outlineLevel="5" x14ac:dyDescent="0.2">
      <c r="B2193" s="14" t="s">
        <v>4180</v>
      </c>
      <c r="C2193" s="14" t="s">
        <v>4181</v>
      </c>
      <c r="D2193" s="14">
        <v>60</v>
      </c>
      <c r="E2193" s="15">
        <v>25.39</v>
      </c>
      <c r="F2193" s="16" t="s">
        <v>8</v>
      </c>
      <c r="G2193" s="38" t="str">
        <f>HYPERLINK("http://enext.ua/p0650007")</f>
        <v>http://enext.ua/p0650007</v>
      </c>
    </row>
    <row r="2194" spans="2:7" ht="11.25" outlineLevel="5" x14ac:dyDescent="0.2">
      <c r="B2194" s="14" t="s">
        <v>4182</v>
      </c>
      <c r="C2194" s="14" t="s">
        <v>4183</v>
      </c>
      <c r="D2194" s="14">
        <v>34</v>
      </c>
      <c r="E2194" s="15">
        <v>34.590000000000003</v>
      </c>
      <c r="F2194" s="16" t="s">
        <v>8</v>
      </c>
      <c r="G2194" s="38" t="str">
        <f>HYPERLINK("http://enext.ua/p0650008")</f>
        <v>http://enext.ua/p0650008</v>
      </c>
    </row>
    <row r="2195" spans="2:7" ht="11.25" outlineLevel="5" x14ac:dyDescent="0.2">
      <c r="B2195" s="14" t="s">
        <v>4184</v>
      </c>
      <c r="C2195" s="14" t="s">
        <v>4185</v>
      </c>
      <c r="D2195" s="14">
        <v>30</v>
      </c>
      <c r="E2195" s="15">
        <v>43.05</v>
      </c>
      <c r="F2195" s="16" t="s">
        <v>8</v>
      </c>
      <c r="G2195" s="38" t="str">
        <f>HYPERLINK("http://enext.ua/p0650009")</f>
        <v>http://enext.ua/p0650009</v>
      </c>
    </row>
    <row r="2196" spans="2:7" ht="12" outlineLevel="4" x14ac:dyDescent="0.2">
      <c r="B2196" s="12"/>
      <c r="C2196" s="37" t="s">
        <v>4186</v>
      </c>
      <c r="D2196" s="12"/>
      <c r="E2196" s="13"/>
      <c r="F2196" s="13"/>
      <c r="G2196" s="12"/>
    </row>
    <row r="2197" spans="2:7" ht="11.25" outlineLevel="5" x14ac:dyDescent="0.2">
      <c r="B2197" s="14" t="s">
        <v>4187</v>
      </c>
      <c r="C2197" s="14" t="s">
        <v>4188</v>
      </c>
      <c r="D2197" s="14">
        <v>40</v>
      </c>
      <c r="E2197" s="15">
        <v>16.18</v>
      </c>
      <c r="F2197" s="16" t="s">
        <v>8</v>
      </c>
      <c r="G2197" s="38" t="str">
        <f>HYPERLINK("http://enext.ua/p0650010")</f>
        <v>http://enext.ua/p0650010</v>
      </c>
    </row>
    <row r="2198" spans="2:7" ht="11.25" outlineLevel="5" x14ac:dyDescent="0.2">
      <c r="B2198" s="14" t="s">
        <v>4189</v>
      </c>
      <c r="C2198" s="14" t="s">
        <v>4190</v>
      </c>
      <c r="D2198" s="14">
        <v>40</v>
      </c>
      <c r="E2198" s="15">
        <v>22.32</v>
      </c>
      <c r="F2198" s="16" t="s">
        <v>8</v>
      </c>
      <c r="G2198" s="38" t="str">
        <f>HYPERLINK("http://enext.ua/p0650011")</f>
        <v>http://enext.ua/p0650011</v>
      </c>
    </row>
    <row r="2199" spans="2:7" ht="11.25" outlineLevel="5" x14ac:dyDescent="0.2">
      <c r="B2199" s="14" t="s">
        <v>4191</v>
      </c>
      <c r="C2199" s="14" t="s">
        <v>4192</v>
      </c>
      <c r="D2199" s="14">
        <v>40</v>
      </c>
      <c r="E2199" s="15">
        <v>28.45</v>
      </c>
      <c r="F2199" s="16" t="s">
        <v>8</v>
      </c>
      <c r="G2199" s="38" t="str">
        <f>HYPERLINK("http://enext.ua/p0650012")</f>
        <v>http://enext.ua/p0650012</v>
      </c>
    </row>
    <row r="2200" spans="2:7" ht="11.25" outlineLevel="5" x14ac:dyDescent="0.2">
      <c r="B2200" s="14" t="s">
        <v>4193</v>
      </c>
      <c r="C2200" s="14" t="s">
        <v>4194</v>
      </c>
      <c r="D2200" s="14">
        <v>20</v>
      </c>
      <c r="E2200" s="15">
        <v>32.909999999999997</v>
      </c>
      <c r="F2200" s="16" t="s">
        <v>8</v>
      </c>
      <c r="G2200" s="38" t="str">
        <f>HYPERLINK("http://enext.ua/p0650013")</f>
        <v>http://enext.ua/p0650013</v>
      </c>
    </row>
    <row r="2201" spans="2:7" ht="11.25" outlineLevel="5" x14ac:dyDescent="0.2">
      <c r="B2201" s="14" t="s">
        <v>4195</v>
      </c>
      <c r="C2201" s="14" t="s">
        <v>4196</v>
      </c>
      <c r="D2201" s="14">
        <v>20</v>
      </c>
      <c r="E2201" s="15">
        <v>37.93</v>
      </c>
      <c r="F2201" s="16" t="s">
        <v>8</v>
      </c>
      <c r="G2201" s="38" t="str">
        <f>HYPERLINK("http://enext.ua/p0650014")</f>
        <v>http://enext.ua/p0650014</v>
      </c>
    </row>
    <row r="2202" spans="2:7" ht="12" outlineLevel="4" x14ac:dyDescent="0.2">
      <c r="B2202" s="12"/>
      <c r="C2202" s="37" t="s">
        <v>4197</v>
      </c>
      <c r="D2202" s="12"/>
      <c r="E2202" s="13"/>
      <c r="F2202" s="13"/>
      <c r="G2202" s="12"/>
    </row>
    <row r="2203" spans="2:7" ht="11.25" outlineLevel="5" x14ac:dyDescent="0.2">
      <c r="B2203" s="14" t="s">
        <v>4198</v>
      </c>
      <c r="C2203" s="14" t="s">
        <v>4199</v>
      </c>
      <c r="D2203" s="14">
        <v>1</v>
      </c>
      <c r="E2203" s="15">
        <v>93.72</v>
      </c>
      <c r="F2203" s="16" t="s">
        <v>8</v>
      </c>
      <c r="G2203" s="38" t="str">
        <f>HYPERLINK("http://enext.ua/p0650001")</f>
        <v>http://enext.ua/p0650001</v>
      </c>
    </row>
    <row r="2204" spans="2:7" ht="11.25" outlineLevel="5" x14ac:dyDescent="0.2">
      <c r="B2204" s="14" t="s">
        <v>4200</v>
      </c>
      <c r="C2204" s="14" t="s">
        <v>4201</v>
      </c>
      <c r="D2204" s="14">
        <v>1</v>
      </c>
      <c r="E2204" s="15">
        <v>160.66999999999999</v>
      </c>
      <c r="F2204" s="16" t="s">
        <v>8</v>
      </c>
      <c r="G2204" s="38" t="str">
        <f>HYPERLINK("http://enext.ua/p0650002")</f>
        <v>http://enext.ua/p0650002</v>
      </c>
    </row>
    <row r="2205" spans="2:7" ht="11.25" outlineLevel="5" x14ac:dyDescent="0.2">
      <c r="B2205" s="14" t="s">
        <v>4202</v>
      </c>
      <c r="C2205" s="14" t="s">
        <v>4203</v>
      </c>
      <c r="D2205" s="14">
        <v>1</v>
      </c>
      <c r="E2205" s="15">
        <v>217.02</v>
      </c>
      <c r="F2205" s="16" t="s">
        <v>8</v>
      </c>
      <c r="G2205" s="38" t="str">
        <f>HYPERLINK("http://enext.ua/p0650003")</f>
        <v>http://enext.ua/p0650003</v>
      </c>
    </row>
    <row r="2206" spans="2:7" ht="11.25" outlineLevel="5" x14ac:dyDescent="0.2">
      <c r="B2206" s="14" t="s">
        <v>4204</v>
      </c>
      <c r="C2206" s="14" t="s">
        <v>4205</v>
      </c>
      <c r="D2206" s="14">
        <v>1</v>
      </c>
      <c r="E2206" s="15">
        <v>221.21</v>
      </c>
      <c r="F2206" s="16" t="s">
        <v>8</v>
      </c>
      <c r="G2206" s="38" t="str">
        <f>HYPERLINK("http://enext.ua/p0650004")</f>
        <v>http://enext.ua/p0650004</v>
      </c>
    </row>
    <row r="2207" spans="2:7" ht="11.25" outlineLevel="5" x14ac:dyDescent="0.2">
      <c r="B2207" s="14" t="s">
        <v>4206</v>
      </c>
      <c r="C2207" s="14" t="s">
        <v>4207</v>
      </c>
      <c r="D2207" s="14">
        <v>1</v>
      </c>
      <c r="E2207" s="15">
        <v>319.39</v>
      </c>
      <c r="F2207" s="16" t="s">
        <v>8</v>
      </c>
      <c r="G2207" s="38" t="str">
        <f>HYPERLINK("http://enext.ua/p0650005")</f>
        <v>http://enext.ua/p0650005</v>
      </c>
    </row>
    <row r="2208" spans="2:7" ht="11.25" outlineLevel="5" x14ac:dyDescent="0.2">
      <c r="B2208" s="14" t="s">
        <v>4208</v>
      </c>
      <c r="C2208" s="14" t="s">
        <v>4209</v>
      </c>
      <c r="D2208" s="14">
        <v>1</v>
      </c>
      <c r="E2208" s="15">
        <v>416.47</v>
      </c>
      <c r="F2208" s="16" t="s">
        <v>8</v>
      </c>
      <c r="G2208" s="38" t="str">
        <f>HYPERLINK("http://enext.ua/p0650006")</f>
        <v>http://enext.ua/p0650006</v>
      </c>
    </row>
    <row r="2209" spans="2:7" ht="12" outlineLevel="3" x14ac:dyDescent="0.2">
      <c r="B2209" s="10"/>
      <c r="C2209" s="36" t="s">
        <v>4210</v>
      </c>
      <c r="D2209" s="10"/>
      <c r="E2209" s="11"/>
      <c r="F2209" s="11"/>
      <c r="G2209" s="10"/>
    </row>
    <row r="2210" spans="2:7" ht="12" outlineLevel="4" x14ac:dyDescent="0.2">
      <c r="B2210" s="12"/>
      <c r="C2210" s="37" t="s">
        <v>4211</v>
      </c>
      <c r="D2210" s="12"/>
      <c r="E2210" s="13"/>
      <c r="F2210" s="13"/>
      <c r="G2210" s="12"/>
    </row>
    <row r="2211" spans="2:7" ht="11.25" outlineLevel="5" x14ac:dyDescent="0.2">
      <c r="B2211" s="14" t="s">
        <v>4212</v>
      </c>
      <c r="C2211" s="14" t="s">
        <v>4213</v>
      </c>
      <c r="D2211" s="14">
        <v>20</v>
      </c>
      <c r="E2211" s="15">
        <v>3.35</v>
      </c>
      <c r="F2211" s="16" t="s">
        <v>4214</v>
      </c>
      <c r="G2211" s="38" t="str">
        <f>HYPERLINK("http://enext.ua/s024102")</f>
        <v>http://enext.ua/s024102</v>
      </c>
    </row>
    <row r="2212" spans="2:7" ht="11.25" outlineLevel="5" x14ac:dyDescent="0.2">
      <c r="B2212" s="14" t="s">
        <v>4215</v>
      </c>
      <c r="C2212" s="14" t="s">
        <v>4216</v>
      </c>
      <c r="D2212" s="14">
        <v>20</v>
      </c>
      <c r="E2212" s="15">
        <v>3.35</v>
      </c>
      <c r="F2212" s="16" t="s">
        <v>4214</v>
      </c>
      <c r="G2212" s="38" t="str">
        <f>HYPERLINK("http://enext.ua/s024104")</f>
        <v>http://enext.ua/s024104</v>
      </c>
    </row>
    <row r="2213" spans="2:7" ht="11.25" outlineLevel="5" x14ac:dyDescent="0.2">
      <c r="B2213" s="14" t="s">
        <v>4217</v>
      </c>
      <c r="C2213" s="14" t="s">
        <v>4218</v>
      </c>
      <c r="D2213" s="14">
        <v>20</v>
      </c>
      <c r="E2213" s="15">
        <v>3.35</v>
      </c>
      <c r="F2213" s="16" t="s">
        <v>4214</v>
      </c>
      <c r="G2213" s="38" t="str">
        <f>HYPERLINK("http://enext.ua/s024100")</f>
        <v>http://enext.ua/s024100</v>
      </c>
    </row>
    <row r="2214" spans="2:7" ht="11.25" outlineLevel="5" x14ac:dyDescent="0.2">
      <c r="B2214" s="14" t="s">
        <v>4219</v>
      </c>
      <c r="C2214" s="14" t="s">
        <v>4220</v>
      </c>
      <c r="D2214" s="14">
        <v>20</v>
      </c>
      <c r="E2214" s="15">
        <v>3.35</v>
      </c>
      <c r="F2214" s="16" t="s">
        <v>4214</v>
      </c>
      <c r="G2214" s="38" t="str">
        <f>HYPERLINK("http://enext.ua/s024103")</f>
        <v>http://enext.ua/s024103</v>
      </c>
    </row>
    <row r="2215" spans="2:7" ht="11.25" outlineLevel="5" x14ac:dyDescent="0.2">
      <c r="B2215" s="14" t="s">
        <v>4221</v>
      </c>
      <c r="C2215" s="14" t="s">
        <v>4222</v>
      </c>
      <c r="D2215" s="14">
        <v>20</v>
      </c>
      <c r="E2215" s="15">
        <v>3.35</v>
      </c>
      <c r="F2215" s="16" t="s">
        <v>4214</v>
      </c>
      <c r="G2215" s="38" t="str">
        <f>HYPERLINK("http://enext.ua/s024190")</f>
        <v>http://enext.ua/s024190</v>
      </c>
    </row>
    <row r="2216" spans="2:7" ht="11.25" outlineLevel="5" x14ac:dyDescent="0.2">
      <c r="B2216" s="14" t="s">
        <v>4223</v>
      </c>
      <c r="C2216" s="14" t="s">
        <v>4224</v>
      </c>
      <c r="D2216" s="14">
        <v>20</v>
      </c>
      <c r="E2216" s="15">
        <v>3.35</v>
      </c>
      <c r="F2216" s="16" t="s">
        <v>4214</v>
      </c>
      <c r="G2216" s="38" t="str">
        <f>HYPERLINK("http://enext.ua/s024101")</f>
        <v>http://enext.ua/s024101</v>
      </c>
    </row>
    <row r="2217" spans="2:7" ht="11.25" outlineLevel="5" x14ac:dyDescent="0.2">
      <c r="B2217" s="14" t="s">
        <v>4225</v>
      </c>
      <c r="C2217" s="14" t="s">
        <v>4226</v>
      </c>
      <c r="D2217" s="14">
        <v>20</v>
      </c>
      <c r="E2217" s="15">
        <v>5.6</v>
      </c>
      <c r="F2217" s="16" t="s">
        <v>4214</v>
      </c>
      <c r="G2217" s="38" t="str">
        <f>HYPERLINK("http://enext.ua/s024191")</f>
        <v>http://enext.ua/s024191</v>
      </c>
    </row>
    <row r="2218" spans="2:7" ht="12" outlineLevel="4" x14ac:dyDescent="0.2">
      <c r="B2218" s="12"/>
      <c r="C2218" s="37" t="s">
        <v>4227</v>
      </c>
      <c r="D2218" s="12"/>
      <c r="E2218" s="13"/>
      <c r="F2218" s="13"/>
      <c r="G2218" s="12"/>
    </row>
    <row r="2219" spans="2:7" ht="11.25" outlineLevel="5" x14ac:dyDescent="0.2">
      <c r="B2219" s="14" t="s">
        <v>4228</v>
      </c>
      <c r="C2219" s="14" t="s">
        <v>4229</v>
      </c>
      <c r="D2219" s="14">
        <v>20</v>
      </c>
      <c r="E2219" s="15">
        <v>3.35</v>
      </c>
      <c r="F2219" s="16" t="s">
        <v>4214</v>
      </c>
      <c r="G2219" s="38" t="str">
        <f>HYPERLINK("http://enext.ua/s024107")</f>
        <v>http://enext.ua/s024107</v>
      </c>
    </row>
    <row r="2220" spans="2:7" ht="11.25" outlineLevel="5" x14ac:dyDescent="0.2">
      <c r="B2220" s="14" t="s">
        <v>4230</v>
      </c>
      <c r="C2220" s="14" t="s">
        <v>4231</v>
      </c>
      <c r="D2220" s="14">
        <v>20</v>
      </c>
      <c r="E2220" s="15">
        <v>3.35</v>
      </c>
      <c r="F2220" s="16" t="s">
        <v>4214</v>
      </c>
      <c r="G2220" s="38" t="str">
        <f>HYPERLINK("http://enext.ua/s024109")</f>
        <v>http://enext.ua/s024109</v>
      </c>
    </row>
    <row r="2221" spans="2:7" ht="11.25" outlineLevel="5" x14ac:dyDescent="0.2">
      <c r="B2221" s="14" t="s">
        <v>4232</v>
      </c>
      <c r="C2221" s="14" t="s">
        <v>4233</v>
      </c>
      <c r="D2221" s="14">
        <v>20</v>
      </c>
      <c r="E2221" s="15">
        <v>3.35</v>
      </c>
      <c r="F2221" s="16" t="s">
        <v>4214</v>
      </c>
      <c r="G2221" s="38" t="str">
        <f>HYPERLINK("http://enext.ua/s024105")</f>
        <v>http://enext.ua/s024105</v>
      </c>
    </row>
    <row r="2222" spans="2:7" ht="11.25" outlineLevel="5" x14ac:dyDescent="0.2">
      <c r="B2222" s="14" t="s">
        <v>4234</v>
      </c>
      <c r="C2222" s="14" t="s">
        <v>4235</v>
      </c>
      <c r="D2222" s="14">
        <v>20</v>
      </c>
      <c r="E2222" s="15">
        <v>3.35</v>
      </c>
      <c r="F2222" s="16" t="s">
        <v>4214</v>
      </c>
      <c r="G2222" s="38" t="str">
        <f>HYPERLINK("http://enext.ua/s024108")</f>
        <v>http://enext.ua/s024108</v>
      </c>
    </row>
    <row r="2223" spans="2:7" ht="11.25" outlineLevel="5" x14ac:dyDescent="0.2">
      <c r="B2223" s="14" t="s">
        <v>4236</v>
      </c>
      <c r="C2223" s="14" t="s">
        <v>4237</v>
      </c>
      <c r="D2223" s="14">
        <v>20</v>
      </c>
      <c r="E2223" s="15">
        <v>3.35</v>
      </c>
      <c r="F2223" s="16" t="s">
        <v>4214</v>
      </c>
      <c r="G2223" s="38" t="str">
        <f>HYPERLINK("http://enext.ua/s024188")</f>
        <v>http://enext.ua/s024188</v>
      </c>
    </row>
    <row r="2224" spans="2:7" ht="11.25" outlineLevel="5" x14ac:dyDescent="0.2">
      <c r="B2224" s="14" t="s">
        <v>4238</v>
      </c>
      <c r="C2224" s="14" t="s">
        <v>4239</v>
      </c>
      <c r="D2224" s="14">
        <v>20</v>
      </c>
      <c r="E2224" s="15">
        <v>3.35</v>
      </c>
      <c r="F2224" s="16" t="s">
        <v>4214</v>
      </c>
      <c r="G2224" s="38" t="str">
        <f>HYPERLINK("http://enext.ua/s024106")</f>
        <v>http://enext.ua/s024106</v>
      </c>
    </row>
    <row r="2225" spans="2:7" ht="22.5" outlineLevel="5" x14ac:dyDescent="0.2">
      <c r="B2225" s="14" t="s">
        <v>4240</v>
      </c>
      <c r="C2225" s="14" t="s">
        <v>4241</v>
      </c>
      <c r="D2225" s="14">
        <v>15</v>
      </c>
      <c r="E2225" s="15">
        <v>5.6</v>
      </c>
      <c r="F2225" s="16" t="s">
        <v>4214</v>
      </c>
      <c r="G2225" s="38" t="str">
        <f>HYPERLINK("http://enext.ua/s024189")</f>
        <v>http://enext.ua/s024189</v>
      </c>
    </row>
    <row r="2226" spans="2:7" ht="12" outlineLevel="4" x14ac:dyDescent="0.2">
      <c r="B2226" s="12"/>
      <c r="C2226" s="37" t="s">
        <v>4242</v>
      </c>
      <c r="D2226" s="12"/>
      <c r="E2226" s="13"/>
      <c r="F2226" s="13"/>
      <c r="G2226" s="12"/>
    </row>
    <row r="2227" spans="2:7" ht="11.25" outlineLevel="5" x14ac:dyDescent="0.2">
      <c r="B2227" s="14" t="s">
        <v>4243</v>
      </c>
      <c r="C2227" s="14" t="s">
        <v>4244</v>
      </c>
      <c r="D2227" s="14">
        <v>20</v>
      </c>
      <c r="E2227" s="15">
        <v>3.77</v>
      </c>
      <c r="F2227" s="16" t="s">
        <v>4214</v>
      </c>
      <c r="G2227" s="38" t="str">
        <f>HYPERLINK("http://enext.ua/s024112")</f>
        <v>http://enext.ua/s024112</v>
      </c>
    </row>
    <row r="2228" spans="2:7" ht="11.25" outlineLevel="5" x14ac:dyDescent="0.2">
      <c r="B2228" s="14" t="s">
        <v>4245</v>
      </c>
      <c r="C2228" s="14" t="s">
        <v>4246</v>
      </c>
      <c r="D2228" s="14">
        <v>20</v>
      </c>
      <c r="E2228" s="15">
        <v>3.77</v>
      </c>
      <c r="F2228" s="16" t="s">
        <v>4214</v>
      </c>
      <c r="G2228" s="38" t="str">
        <f>HYPERLINK("http://enext.ua/s024114")</f>
        <v>http://enext.ua/s024114</v>
      </c>
    </row>
    <row r="2229" spans="2:7" ht="11.25" outlineLevel="5" x14ac:dyDescent="0.2">
      <c r="B2229" s="14" t="s">
        <v>4247</v>
      </c>
      <c r="C2229" s="14" t="s">
        <v>4248</v>
      </c>
      <c r="D2229" s="14">
        <v>20</v>
      </c>
      <c r="E2229" s="15">
        <v>3.77</v>
      </c>
      <c r="F2229" s="16" t="s">
        <v>4214</v>
      </c>
      <c r="G2229" s="38" t="str">
        <f>HYPERLINK("http://enext.ua/s024110")</f>
        <v>http://enext.ua/s024110</v>
      </c>
    </row>
    <row r="2230" spans="2:7" ht="11.25" outlineLevel="5" x14ac:dyDescent="0.2">
      <c r="B2230" s="14" t="s">
        <v>4249</v>
      </c>
      <c r="C2230" s="14" t="s">
        <v>4250</v>
      </c>
      <c r="D2230" s="14">
        <v>20</v>
      </c>
      <c r="E2230" s="15">
        <v>3.77</v>
      </c>
      <c r="F2230" s="16" t="s">
        <v>4214</v>
      </c>
      <c r="G2230" s="38" t="str">
        <f>HYPERLINK("http://enext.ua/s024113")</f>
        <v>http://enext.ua/s024113</v>
      </c>
    </row>
    <row r="2231" spans="2:7" ht="11.25" outlineLevel="5" x14ac:dyDescent="0.2">
      <c r="B2231" s="14" t="s">
        <v>4251</v>
      </c>
      <c r="C2231" s="14" t="s">
        <v>4252</v>
      </c>
      <c r="D2231" s="14">
        <v>20</v>
      </c>
      <c r="E2231" s="15">
        <v>3.77</v>
      </c>
      <c r="F2231" s="16" t="s">
        <v>4214</v>
      </c>
      <c r="G2231" s="38" t="str">
        <f>HYPERLINK("http://enext.ua/s024192")</f>
        <v>http://enext.ua/s024192</v>
      </c>
    </row>
    <row r="2232" spans="2:7" ht="11.25" outlineLevel="5" x14ac:dyDescent="0.2">
      <c r="B2232" s="14" t="s">
        <v>4253</v>
      </c>
      <c r="C2232" s="14" t="s">
        <v>4254</v>
      </c>
      <c r="D2232" s="14">
        <v>1</v>
      </c>
      <c r="E2232" s="15">
        <v>3.77</v>
      </c>
      <c r="F2232" s="16" t="s">
        <v>4214</v>
      </c>
      <c r="G2232" s="38" t="str">
        <f>HYPERLINK("http://enext.ua/s024212")</f>
        <v>http://enext.ua/s024212</v>
      </c>
    </row>
    <row r="2233" spans="2:7" ht="11.25" outlineLevel="5" x14ac:dyDescent="0.2">
      <c r="B2233" s="14" t="s">
        <v>4255</v>
      </c>
      <c r="C2233" s="14" t="s">
        <v>4256</v>
      </c>
      <c r="D2233" s="14">
        <v>20</v>
      </c>
      <c r="E2233" s="15">
        <v>3.77</v>
      </c>
      <c r="F2233" s="16" t="s">
        <v>4214</v>
      </c>
      <c r="G2233" s="38" t="str">
        <f>HYPERLINK("http://enext.ua/s024111")</f>
        <v>http://enext.ua/s024111</v>
      </c>
    </row>
    <row r="2234" spans="2:7" ht="11.25" outlineLevel="5" x14ac:dyDescent="0.2">
      <c r="B2234" s="14" t="s">
        <v>4257</v>
      </c>
      <c r="C2234" s="14" t="s">
        <v>4258</v>
      </c>
      <c r="D2234" s="14">
        <v>20</v>
      </c>
      <c r="E2234" s="15">
        <v>6.59</v>
      </c>
      <c r="F2234" s="16" t="s">
        <v>4214</v>
      </c>
      <c r="G2234" s="38" t="str">
        <f>HYPERLINK("http://enext.ua/s024193")</f>
        <v>http://enext.ua/s024193</v>
      </c>
    </row>
    <row r="2235" spans="2:7" ht="12" outlineLevel="4" x14ac:dyDescent="0.2">
      <c r="B2235" s="12"/>
      <c r="C2235" s="37" t="s">
        <v>4259</v>
      </c>
      <c r="D2235" s="12"/>
      <c r="E2235" s="13"/>
      <c r="F2235" s="13"/>
      <c r="G2235" s="12"/>
    </row>
    <row r="2236" spans="2:7" ht="11.25" outlineLevel="5" x14ac:dyDescent="0.2">
      <c r="B2236" s="14" t="s">
        <v>4260</v>
      </c>
      <c r="C2236" s="14" t="s">
        <v>4261</v>
      </c>
      <c r="D2236" s="14">
        <v>20</v>
      </c>
      <c r="E2236" s="15">
        <v>4.2699999999999996</v>
      </c>
      <c r="F2236" s="16" t="s">
        <v>4214</v>
      </c>
      <c r="G2236" s="38" t="str">
        <f>HYPERLINK("http://enext.ua/s024118")</f>
        <v>http://enext.ua/s024118</v>
      </c>
    </row>
    <row r="2237" spans="2:7" ht="11.25" outlineLevel="5" x14ac:dyDescent="0.2">
      <c r="B2237" s="14" t="s">
        <v>4262</v>
      </c>
      <c r="C2237" s="14" t="s">
        <v>4263</v>
      </c>
      <c r="D2237" s="14">
        <v>20</v>
      </c>
      <c r="E2237" s="15">
        <v>4.2699999999999996</v>
      </c>
      <c r="F2237" s="16" t="s">
        <v>4214</v>
      </c>
      <c r="G2237" s="38" t="str">
        <f>HYPERLINK("http://enext.ua/s024116")</f>
        <v>http://enext.ua/s024116</v>
      </c>
    </row>
    <row r="2238" spans="2:7" ht="11.25" outlineLevel="5" x14ac:dyDescent="0.2">
      <c r="B2238" s="14" t="s">
        <v>4264</v>
      </c>
      <c r="C2238" s="14" t="s">
        <v>4265</v>
      </c>
      <c r="D2238" s="14">
        <v>20</v>
      </c>
      <c r="E2238" s="15">
        <v>4.2699999999999996</v>
      </c>
      <c r="F2238" s="16" t="s">
        <v>4214</v>
      </c>
      <c r="G2238" s="38" t="str">
        <f>HYPERLINK("http://enext.ua/s024115")</f>
        <v>http://enext.ua/s024115</v>
      </c>
    </row>
    <row r="2239" spans="2:7" ht="11.25" outlineLevel="5" x14ac:dyDescent="0.2">
      <c r="B2239" s="14" t="s">
        <v>4266</v>
      </c>
      <c r="C2239" s="14" t="s">
        <v>4267</v>
      </c>
      <c r="D2239" s="14">
        <v>20</v>
      </c>
      <c r="E2239" s="15">
        <v>4.2699999999999996</v>
      </c>
      <c r="F2239" s="16" t="s">
        <v>4214</v>
      </c>
      <c r="G2239" s="38" t="str">
        <f>HYPERLINK("http://enext.ua/s024119")</f>
        <v>http://enext.ua/s024119</v>
      </c>
    </row>
    <row r="2240" spans="2:7" ht="11.25" outlineLevel="5" x14ac:dyDescent="0.2">
      <c r="B2240" s="14" t="s">
        <v>4268</v>
      </c>
      <c r="C2240" s="14" t="s">
        <v>4269</v>
      </c>
      <c r="D2240" s="14">
        <v>20</v>
      </c>
      <c r="E2240" s="15">
        <v>4.2699999999999996</v>
      </c>
      <c r="F2240" s="16" t="s">
        <v>4214</v>
      </c>
      <c r="G2240" s="38" t="str">
        <f>HYPERLINK("http://enext.ua/s024194")</f>
        <v>http://enext.ua/s024194</v>
      </c>
    </row>
    <row r="2241" spans="2:7" ht="11.25" outlineLevel="5" x14ac:dyDescent="0.2">
      <c r="B2241" s="14" t="s">
        <v>4270</v>
      </c>
      <c r="C2241" s="14" t="s">
        <v>4271</v>
      </c>
      <c r="D2241" s="14">
        <v>20</v>
      </c>
      <c r="E2241" s="15">
        <v>4.2699999999999996</v>
      </c>
      <c r="F2241" s="16" t="s">
        <v>4214</v>
      </c>
      <c r="G2241" s="38" t="str">
        <f>HYPERLINK("http://enext.ua/s024117")</f>
        <v>http://enext.ua/s024117</v>
      </c>
    </row>
    <row r="2242" spans="2:7" ht="11.25" outlineLevel="5" x14ac:dyDescent="0.2">
      <c r="B2242" s="14" t="s">
        <v>4272</v>
      </c>
      <c r="C2242" s="14" t="s">
        <v>4273</v>
      </c>
      <c r="D2242" s="14">
        <v>20</v>
      </c>
      <c r="E2242" s="15">
        <v>7.8</v>
      </c>
      <c r="F2242" s="16" t="s">
        <v>4214</v>
      </c>
      <c r="G2242" s="38" t="str">
        <f>HYPERLINK("http://enext.ua/s024195")</f>
        <v>http://enext.ua/s024195</v>
      </c>
    </row>
    <row r="2243" spans="2:7" ht="12" outlineLevel="4" x14ac:dyDescent="0.2">
      <c r="B2243" s="12"/>
      <c r="C2243" s="37" t="s">
        <v>4274</v>
      </c>
      <c r="D2243" s="12"/>
      <c r="E2243" s="13"/>
      <c r="F2243" s="13"/>
      <c r="G2243" s="12"/>
    </row>
    <row r="2244" spans="2:7" ht="11.25" outlineLevel="5" x14ac:dyDescent="0.2">
      <c r="B2244" s="14" t="s">
        <v>4275</v>
      </c>
      <c r="C2244" s="14" t="s">
        <v>4276</v>
      </c>
      <c r="D2244" s="14">
        <v>20</v>
      </c>
      <c r="E2244" s="15">
        <v>5.0199999999999996</v>
      </c>
      <c r="F2244" s="16" t="s">
        <v>4214</v>
      </c>
      <c r="G2244" s="38" t="str">
        <f>HYPERLINK("http://enext.ua/s024127")</f>
        <v>http://enext.ua/s024127</v>
      </c>
    </row>
    <row r="2245" spans="2:7" ht="11.25" outlineLevel="5" x14ac:dyDescent="0.2">
      <c r="B2245" s="14" t="s">
        <v>4277</v>
      </c>
      <c r="C2245" s="14" t="s">
        <v>4278</v>
      </c>
      <c r="D2245" s="14">
        <v>20</v>
      </c>
      <c r="E2245" s="15">
        <v>5.0199999999999996</v>
      </c>
      <c r="F2245" s="16" t="s">
        <v>4214</v>
      </c>
      <c r="G2245" s="38" t="str">
        <f>HYPERLINK("http://enext.ua/s024129")</f>
        <v>http://enext.ua/s024129</v>
      </c>
    </row>
    <row r="2246" spans="2:7" ht="11.25" outlineLevel="5" x14ac:dyDescent="0.2">
      <c r="B2246" s="14" t="s">
        <v>4279</v>
      </c>
      <c r="C2246" s="14" t="s">
        <v>4280</v>
      </c>
      <c r="D2246" s="14">
        <v>20</v>
      </c>
      <c r="E2246" s="15">
        <v>5.0199999999999996</v>
      </c>
      <c r="F2246" s="16" t="s">
        <v>4214</v>
      </c>
      <c r="G2246" s="38" t="str">
        <f>HYPERLINK("http://enext.ua/s024125")</f>
        <v>http://enext.ua/s024125</v>
      </c>
    </row>
    <row r="2247" spans="2:7" ht="11.25" outlineLevel="5" x14ac:dyDescent="0.2">
      <c r="B2247" s="14" t="s">
        <v>4281</v>
      </c>
      <c r="C2247" s="14" t="s">
        <v>4282</v>
      </c>
      <c r="D2247" s="14">
        <v>20</v>
      </c>
      <c r="E2247" s="15">
        <v>5.0199999999999996</v>
      </c>
      <c r="F2247" s="16" t="s">
        <v>4214</v>
      </c>
      <c r="G2247" s="38" t="str">
        <f>HYPERLINK("http://enext.ua/s024128")</f>
        <v>http://enext.ua/s024128</v>
      </c>
    </row>
    <row r="2248" spans="2:7" ht="11.25" outlineLevel="5" x14ac:dyDescent="0.2">
      <c r="B2248" s="14" t="s">
        <v>4283</v>
      </c>
      <c r="C2248" s="14" t="s">
        <v>4284</v>
      </c>
      <c r="D2248" s="14">
        <v>20</v>
      </c>
      <c r="E2248" s="15">
        <v>5.0199999999999996</v>
      </c>
      <c r="F2248" s="16" t="s">
        <v>4214</v>
      </c>
      <c r="G2248" s="38" t="str">
        <f>HYPERLINK("http://enext.ua/s024196")</f>
        <v>http://enext.ua/s024196</v>
      </c>
    </row>
    <row r="2249" spans="2:7" ht="11.25" outlineLevel="5" x14ac:dyDescent="0.2">
      <c r="B2249" s="14" t="s">
        <v>4285</v>
      </c>
      <c r="C2249" s="14" t="s">
        <v>4286</v>
      </c>
      <c r="D2249" s="14">
        <v>20</v>
      </c>
      <c r="E2249" s="15">
        <v>5.0199999999999996</v>
      </c>
      <c r="F2249" s="16" t="s">
        <v>4214</v>
      </c>
      <c r="G2249" s="38" t="str">
        <f>HYPERLINK("http://enext.ua/s024126")</f>
        <v>http://enext.ua/s024126</v>
      </c>
    </row>
    <row r="2250" spans="2:7" ht="11.25" outlineLevel="5" x14ac:dyDescent="0.2">
      <c r="B2250" s="14" t="s">
        <v>4287</v>
      </c>
      <c r="C2250" s="14" t="s">
        <v>4288</v>
      </c>
      <c r="D2250" s="14">
        <v>20</v>
      </c>
      <c r="E2250" s="15">
        <v>8.75</v>
      </c>
      <c r="F2250" s="16" t="s">
        <v>4214</v>
      </c>
      <c r="G2250" s="38" t="str">
        <f>HYPERLINK("http://enext.ua/s024197")</f>
        <v>http://enext.ua/s024197</v>
      </c>
    </row>
    <row r="2251" spans="2:7" ht="12" outlineLevel="4" x14ac:dyDescent="0.2">
      <c r="B2251" s="12"/>
      <c r="C2251" s="37" t="s">
        <v>4289</v>
      </c>
      <c r="D2251" s="12"/>
      <c r="E2251" s="13"/>
      <c r="F2251" s="13"/>
      <c r="G2251" s="12"/>
    </row>
    <row r="2252" spans="2:7" ht="11.25" outlineLevel="5" x14ac:dyDescent="0.2">
      <c r="B2252" s="14" t="s">
        <v>4290</v>
      </c>
      <c r="C2252" s="14" t="s">
        <v>4291</v>
      </c>
      <c r="D2252" s="14">
        <v>10</v>
      </c>
      <c r="E2252" s="15">
        <v>6.62</v>
      </c>
      <c r="F2252" s="16" t="s">
        <v>4214</v>
      </c>
      <c r="G2252" s="38" t="str">
        <f>HYPERLINK("http://enext.ua/s0240015")</f>
        <v>http://enext.ua/s0240015</v>
      </c>
    </row>
    <row r="2253" spans="2:7" ht="11.25" outlineLevel="5" x14ac:dyDescent="0.2">
      <c r="B2253" s="14" t="s">
        <v>4292</v>
      </c>
      <c r="C2253" s="14" t="s">
        <v>4293</v>
      </c>
      <c r="D2253" s="14">
        <v>10</v>
      </c>
      <c r="E2253" s="15">
        <v>6.62</v>
      </c>
      <c r="F2253" s="16" t="s">
        <v>4214</v>
      </c>
      <c r="G2253" s="38" t="str">
        <f>HYPERLINK("http://enext.ua/s0240013")</f>
        <v>http://enext.ua/s0240013</v>
      </c>
    </row>
    <row r="2254" spans="2:7" ht="11.25" outlineLevel="5" x14ac:dyDescent="0.2">
      <c r="B2254" s="14" t="s">
        <v>4294</v>
      </c>
      <c r="C2254" s="14" t="s">
        <v>4295</v>
      </c>
      <c r="D2254" s="14">
        <v>10</v>
      </c>
      <c r="E2254" s="15">
        <v>6.62</v>
      </c>
      <c r="F2254" s="16" t="s">
        <v>4214</v>
      </c>
      <c r="G2254" s="38" t="str">
        <f>HYPERLINK("http://enext.ua/s0240011")</f>
        <v>http://enext.ua/s0240011</v>
      </c>
    </row>
    <row r="2255" spans="2:7" ht="11.25" outlineLevel="5" x14ac:dyDescent="0.2">
      <c r="B2255" s="14" t="s">
        <v>4296</v>
      </c>
      <c r="C2255" s="14" t="s">
        <v>4297</v>
      </c>
      <c r="D2255" s="14">
        <v>10</v>
      </c>
      <c r="E2255" s="15">
        <v>6.62</v>
      </c>
      <c r="F2255" s="16" t="s">
        <v>4214</v>
      </c>
      <c r="G2255" s="38" t="str">
        <f>HYPERLINK("http://enext.ua/s0240014")</f>
        <v>http://enext.ua/s0240014</v>
      </c>
    </row>
    <row r="2256" spans="2:7" ht="11.25" outlineLevel="5" x14ac:dyDescent="0.2">
      <c r="B2256" s="14" t="s">
        <v>4298</v>
      </c>
      <c r="C2256" s="14" t="s">
        <v>4299</v>
      </c>
      <c r="D2256" s="14">
        <v>10</v>
      </c>
      <c r="E2256" s="15">
        <v>6.62</v>
      </c>
      <c r="F2256" s="16" t="s">
        <v>4214</v>
      </c>
      <c r="G2256" s="38" t="str">
        <f>HYPERLINK("http://enext.ua/s024198")</f>
        <v>http://enext.ua/s024198</v>
      </c>
    </row>
    <row r="2257" spans="2:7" ht="11.25" outlineLevel="5" x14ac:dyDescent="0.2">
      <c r="B2257" s="14" t="s">
        <v>4300</v>
      </c>
      <c r="C2257" s="14" t="s">
        <v>4301</v>
      </c>
      <c r="D2257" s="14">
        <v>10</v>
      </c>
      <c r="E2257" s="15">
        <v>6.62</v>
      </c>
      <c r="F2257" s="16" t="s">
        <v>4214</v>
      </c>
      <c r="G2257" s="38" t="str">
        <f>HYPERLINK("http://enext.ua/s024001")</f>
        <v>http://enext.ua/s024001</v>
      </c>
    </row>
    <row r="2258" spans="2:7" ht="11.25" outlineLevel="5" x14ac:dyDescent="0.2">
      <c r="B2258" s="14" t="s">
        <v>4302</v>
      </c>
      <c r="C2258" s="14" t="s">
        <v>4303</v>
      </c>
      <c r="D2258" s="14">
        <v>10</v>
      </c>
      <c r="E2258" s="15">
        <v>6.62</v>
      </c>
      <c r="F2258" s="16" t="s">
        <v>4214</v>
      </c>
      <c r="G2258" s="38" t="str">
        <f>HYPERLINK("http://enext.ua/s0240012")</f>
        <v>http://enext.ua/s0240012</v>
      </c>
    </row>
    <row r="2259" spans="2:7" ht="11.25" outlineLevel="5" x14ac:dyDescent="0.2">
      <c r="B2259" s="14" t="s">
        <v>4304</v>
      </c>
      <c r="C2259" s="14" t="s">
        <v>4305</v>
      </c>
      <c r="D2259" s="14">
        <v>10</v>
      </c>
      <c r="E2259" s="15">
        <v>10.31</v>
      </c>
      <c r="F2259" s="16" t="s">
        <v>4214</v>
      </c>
      <c r="G2259" s="38" t="str">
        <f>HYPERLINK("http://enext.ua/s024199")</f>
        <v>http://enext.ua/s024199</v>
      </c>
    </row>
    <row r="2260" spans="2:7" ht="12" outlineLevel="4" x14ac:dyDescent="0.2">
      <c r="B2260" s="12"/>
      <c r="C2260" s="37" t="s">
        <v>4306</v>
      </c>
      <c r="D2260" s="12"/>
      <c r="E2260" s="13"/>
      <c r="F2260" s="13"/>
      <c r="G2260" s="12"/>
    </row>
    <row r="2261" spans="2:7" ht="11.25" outlineLevel="5" x14ac:dyDescent="0.2">
      <c r="B2261" s="14" t="s">
        <v>4307</v>
      </c>
      <c r="C2261" s="14" t="s">
        <v>4308</v>
      </c>
      <c r="D2261" s="14">
        <v>10</v>
      </c>
      <c r="E2261" s="15">
        <v>8.09</v>
      </c>
      <c r="F2261" s="16" t="s">
        <v>4214</v>
      </c>
      <c r="G2261" s="38" t="str">
        <f>HYPERLINK("http://enext.ua/s024020")</f>
        <v>http://enext.ua/s024020</v>
      </c>
    </row>
    <row r="2262" spans="2:7" ht="11.25" outlineLevel="5" x14ac:dyDescent="0.2">
      <c r="B2262" s="14" t="s">
        <v>4309</v>
      </c>
      <c r="C2262" s="14" t="s">
        <v>4310</v>
      </c>
      <c r="D2262" s="14">
        <v>10</v>
      </c>
      <c r="E2262" s="15">
        <v>8.09</v>
      </c>
      <c r="F2262" s="16" t="s">
        <v>4214</v>
      </c>
      <c r="G2262" s="38" t="str">
        <f>HYPERLINK("http://enext.ua/s024018")</f>
        <v>http://enext.ua/s024018</v>
      </c>
    </row>
    <row r="2263" spans="2:7" ht="11.25" outlineLevel="5" x14ac:dyDescent="0.2">
      <c r="B2263" s="14" t="s">
        <v>4311</v>
      </c>
      <c r="C2263" s="14" t="s">
        <v>4312</v>
      </c>
      <c r="D2263" s="14">
        <v>10</v>
      </c>
      <c r="E2263" s="15">
        <v>8.09</v>
      </c>
      <c r="F2263" s="16" t="s">
        <v>4214</v>
      </c>
      <c r="G2263" s="38" t="str">
        <f>HYPERLINK("http://enext.ua/s024016")</f>
        <v>http://enext.ua/s024016</v>
      </c>
    </row>
    <row r="2264" spans="2:7" ht="11.25" outlineLevel="5" x14ac:dyDescent="0.2">
      <c r="B2264" s="14" t="s">
        <v>4313</v>
      </c>
      <c r="C2264" s="14" t="s">
        <v>4314</v>
      </c>
      <c r="D2264" s="14">
        <v>10</v>
      </c>
      <c r="E2264" s="15">
        <v>8.09</v>
      </c>
      <c r="F2264" s="16" t="s">
        <v>4214</v>
      </c>
      <c r="G2264" s="38" t="str">
        <f>HYPERLINK("http://enext.ua/s024019")</f>
        <v>http://enext.ua/s024019</v>
      </c>
    </row>
    <row r="2265" spans="2:7" ht="11.25" outlineLevel="5" x14ac:dyDescent="0.2">
      <c r="B2265" s="14" t="s">
        <v>4315</v>
      </c>
      <c r="C2265" s="14" t="s">
        <v>4316</v>
      </c>
      <c r="D2265" s="14">
        <v>10</v>
      </c>
      <c r="E2265" s="15">
        <v>8.09</v>
      </c>
      <c r="F2265" s="16" t="s">
        <v>4214</v>
      </c>
      <c r="G2265" s="38" t="str">
        <f>HYPERLINK("http://enext.ua/s024200")</f>
        <v>http://enext.ua/s024200</v>
      </c>
    </row>
    <row r="2266" spans="2:7" ht="11.25" outlineLevel="5" x14ac:dyDescent="0.2">
      <c r="B2266" s="14" t="s">
        <v>4317</v>
      </c>
      <c r="C2266" s="14" t="s">
        <v>4318</v>
      </c>
      <c r="D2266" s="14">
        <v>10</v>
      </c>
      <c r="E2266" s="15">
        <v>8.09</v>
      </c>
      <c r="F2266" s="16" t="s">
        <v>4214</v>
      </c>
      <c r="G2266" s="38" t="str">
        <f>HYPERLINK("http://enext.ua/s024093")</f>
        <v>http://enext.ua/s024093</v>
      </c>
    </row>
    <row r="2267" spans="2:7" ht="11.25" outlineLevel="5" x14ac:dyDescent="0.2">
      <c r="B2267" s="14" t="s">
        <v>4319</v>
      </c>
      <c r="C2267" s="14" t="s">
        <v>4320</v>
      </c>
      <c r="D2267" s="14">
        <v>10</v>
      </c>
      <c r="E2267" s="15">
        <v>8.09</v>
      </c>
      <c r="F2267" s="16" t="s">
        <v>4214</v>
      </c>
      <c r="G2267" s="38" t="str">
        <f>HYPERLINK("http://enext.ua/s024017")</f>
        <v>http://enext.ua/s024017</v>
      </c>
    </row>
    <row r="2268" spans="2:7" ht="11.25" outlineLevel="5" x14ac:dyDescent="0.2">
      <c r="B2268" s="14" t="s">
        <v>4321</v>
      </c>
      <c r="C2268" s="14" t="s">
        <v>4322</v>
      </c>
      <c r="D2268" s="14">
        <v>10</v>
      </c>
      <c r="E2268" s="15">
        <v>13.32</v>
      </c>
      <c r="F2268" s="16" t="s">
        <v>4214</v>
      </c>
      <c r="G2268" s="38" t="str">
        <f>HYPERLINK("http://enext.ua/s024201")</f>
        <v>http://enext.ua/s024201</v>
      </c>
    </row>
    <row r="2269" spans="2:7" ht="12" outlineLevel="4" x14ac:dyDescent="0.2">
      <c r="B2269" s="12"/>
      <c r="C2269" s="37" t="s">
        <v>4323</v>
      </c>
      <c r="D2269" s="12"/>
      <c r="E2269" s="13"/>
      <c r="F2269" s="13"/>
      <c r="G2269" s="12"/>
    </row>
    <row r="2270" spans="2:7" ht="11.25" outlineLevel="5" x14ac:dyDescent="0.2">
      <c r="B2270" s="14" t="s">
        <v>4324</v>
      </c>
      <c r="C2270" s="14" t="s">
        <v>4325</v>
      </c>
      <c r="D2270" s="14">
        <v>10</v>
      </c>
      <c r="E2270" s="15">
        <v>11.72</v>
      </c>
      <c r="F2270" s="16" t="s">
        <v>4214</v>
      </c>
      <c r="G2270" s="38" t="str">
        <f>HYPERLINK("http://enext.ua/s024027")</f>
        <v>http://enext.ua/s024027</v>
      </c>
    </row>
    <row r="2271" spans="2:7" ht="11.25" outlineLevel="5" x14ac:dyDescent="0.2">
      <c r="B2271" s="14" t="s">
        <v>4326</v>
      </c>
      <c r="C2271" s="14" t="s">
        <v>4327</v>
      </c>
      <c r="D2271" s="14">
        <v>10</v>
      </c>
      <c r="E2271" s="15">
        <v>11.72</v>
      </c>
      <c r="F2271" s="16" t="s">
        <v>4214</v>
      </c>
      <c r="G2271" s="38" t="str">
        <f>HYPERLINK("http://enext.ua/s024028")</f>
        <v>http://enext.ua/s024028</v>
      </c>
    </row>
    <row r="2272" spans="2:7" ht="11.25" outlineLevel="5" x14ac:dyDescent="0.2">
      <c r="B2272" s="14" t="s">
        <v>4328</v>
      </c>
      <c r="C2272" s="14" t="s">
        <v>4329</v>
      </c>
      <c r="D2272" s="14">
        <v>10</v>
      </c>
      <c r="E2272" s="15">
        <v>11.72</v>
      </c>
      <c r="F2272" s="16" t="s">
        <v>4214</v>
      </c>
      <c r="G2272" s="38" t="str">
        <f>HYPERLINK("http://enext.ua/s024026")</f>
        <v>http://enext.ua/s024026</v>
      </c>
    </row>
    <row r="2273" spans="2:7" ht="11.25" outlineLevel="5" x14ac:dyDescent="0.2">
      <c r="B2273" s="14" t="s">
        <v>4330</v>
      </c>
      <c r="C2273" s="14" t="s">
        <v>4331</v>
      </c>
      <c r="D2273" s="14">
        <v>10</v>
      </c>
      <c r="E2273" s="15">
        <v>11.72</v>
      </c>
      <c r="F2273" s="16" t="s">
        <v>4214</v>
      </c>
      <c r="G2273" s="38" t="str">
        <f>HYPERLINK("http://enext.ua/s024029")</f>
        <v>http://enext.ua/s024029</v>
      </c>
    </row>
    <row r="2274" spans="2:7" ht="11.25" outlineLevel="5" x14ac:dyDescent="0.2">
      <c r="B2274" s="14" t="s">
        <v>4332</v>
      </c>
      <c r="C2274" s="14" t="s">
        <v>4333</v>
      </c>
      <c r="D2274" s="14">
        <v>10</v>
      </c>
      <c r="E2274" s="15">
        <v>11.72</v>
      </c>
      <c r="F2274" s="16" t="s">
        <v>4214</v>
      </c>
      <c r="G2274" s="38" t="str">
        <f>HYPERLINK("http://enext.ua/s024202")</f>
        <v>http://enext.ua/s024202</v>
      </c>
    </row>
    <row r="2275" spans="2:7" ht="11.25" outlineLevel="5" x14ac:dyDescent="0.2">
      <c r="B2275" s="14" t="s">
        <v>4334</v>
      </c>
      <c r="C2275" s="14" t="s">
        <v>4335</v>
      </c>
      <c r="D2275" s="14">
        <v>10</v>
      </c>
      <c r="E2275" s="15">
        <v>11.72</v>
      </c>
      <c r="F2275" s="16" t="s">
        <v>4214</v>
      </c>
      <c r="G2275" s="38" t="str">
        <f>HYPERLINK("http://enext.ua/s024094")</f>
        <v>http://enext.ua/s024094</v>
      </c>
    </row>
    <row r="2276" spans="2:7" ht="11.25" outlineLevel="5" x14ac:dyDescent="0.2">
      <c r="B2276" s="14" t="s">
        <v>4336</v>
      </c>
      <c r="C2276" s="14" t="s">
        <v>4337</v>
      </c>
      <c r="D2276" s="14">
        <v>10</v>
      </c>
      <c r="E2276" s="15">
        <v>11.72</v>
      </c>
      <c r="F2276" s="16" t="s">
        <v>4214</v>
      </c>
      <c r="G2276" s="38" t="str">
        <f>HYPERLINK("http://enext.ua/s024030")</f>
        <v>http://enext.ua/s024030</v>
      </c>
    </row>
    <row r="2277" spans="2:7" ht="11.25" outlineLevel="5" x14ac:dyDescent="0.2">
      <c r="B2277" s="14" t="s">
        <v>4338</v>
      </c>
      <c r="C2277" s="14" t="s">
        <v>4339</v>
      </c>
      <c r="D2277" s="14">
        <v>10</v>
      </c>
      <c r="E2277" s="15">
        <v>18.25</v>
      </c>
      <c r="F2277" s="16" t="s">
        <v>4214</v>
      </c>
      <c r="G2277" s="38" t="str">
        <f>HYPERLINK("http://enext.ua/s024203")</f>
        <v>http://enext.ua/s024203</v>
      </c>
    </row>
    <row r="2278" spans="2:7" ht="12" outlineLevel="4" x14ac:dyDescent="0.2">
      <c r="B2278" s="12"/>
      <c r="C2278" s="37" t="s">
        <v>4340</v>
      </c>
      <c r="D2278" s="12"/>
      <c r="E2278" s="13"/>
      <c r="F2278" s="13"/>
      <c r="G2278" s="12"/>
    </row>
    <row r="2279" spans="2:7" ht="11.25" outlineLevel="5" x14ac:dyDescent="0.2">
      <c r="B2279" s="14" t="s">
        <v>4341</v>
      </c>
      <c r="C2279" s="14" t="s">
        <v>4342</v>
      </c>
      <c r="D2279" s="14">
        <v>10</v>
      </c>
      <c r="E2279" s="15">
        <v>15.69</v>
      </c>
      <c r="F2279" s="16" t="s">
        <v>4214</v>
      </c>
      <c r="G2279" s="38" t="str">
        <f>HYPERLINK("http://enext.ua/s024070")</f>
        <v>http://enext.ua/s024070</v>
      </c>
    </row>
    <row r="2280" spans="2:7" ht="11.25" outlineLevel="5" x14ac:dyDescent="0.2">
      <c r="B2280" s="14" t="s">
        <v>4343</v>
      </c>
      <c r="C2280" s="14" t="s">
        <v>4344</v>
      </c>
      <c r="D2280" s="14">
        <v>10</v>
      </c>
      <c r="E2280" s="15">
        <v>15.69</v>
      </c>
      <c r="F2280" s="16" t="s">
        <v>4214</v>
      </c>
      <c r="G2280" s="38" t="str">
        <f>HYPERLINK("http://enext.ua/s024068")</f>
        <v>http://enext.ua/s024068</v>
      </c>
    </row>
    <row r="2281" spans="2:7" ht="11.25" outlineLevel="5" x14ac:dyDescent="0.2">
      <c r="B2281" s="14" t="s">
        <v>4345</v>
      </c>
      <c r="C2281" s="14" t="s">
        <v>4346</v>
      </c>
      <c r="D2281" s="14">
        <v>10</v>
      </c>
      <c r="E2281" s="15">
        <v>15.69</v>
      </c>
      <c r="F2281" s="16" t="s">
        <v>4214</v>
      </c>
      <c r="G2281" s="38" t="str">
        <f>HYPERLINK("http://enext.ua/s024066")</f>
        <v>http://enext.ua/s024066</v>
      </c>
    </row>
    <row r="2282" spans="2:7" ht="11.25" outlineLevel="5" x14ac:dyDescent="0.2">
      <c r="B2282" s="14" t="s">
        <v>4347</v>
      </c>
      <c r="C2282" s="14" t="s">
        <v>4348</v>
      </c>
      <c r="D2282" s="14">
        <v>10</v>
      </c>
      <c r="E2282" s="15">
        <v>15.69</v>
      </c>
      <c r="F2282" s="16" t="s">
        <v>4214</v>
      </c>
      <c r="G2282" s="38" t="str">
        <f>HYPERLINK("http://enext.ua/s024069")</f>
        <v>http://enext.ua/s024069</v>
      </c>
    </row>
    <row r="2283" spans="2:7" ht="11.25" outlineLevel="5" x14ac:dyDescent="0.2">
      <c r="B2283" s="14" t="s">
        <v>4349</v>
      </c>
      <c r="C2283" s="14" t="s">
        <v>4350</v>
      </c>
      <c r="D2283" s="14">
        <v>10</v>
      </c>
      <c r="E2283" s="15">
        <v>15.69</v>
      </c>
      <c r="F2283" s="16" t="s">
        <v>4214</v>
      </c>
      <c r="G2283" s="38" t="str">
        <f>HYPERLINK("http://enext.ua/s024204")</f>
        <v>http://enext.ua/s024204</v>
      </c>
    </row>
    <row r="2284" spans="2:7" ht="11.25" outlineLevel="5" x14ac:dyDescent="0.2">
      <c r="B2284" s="14" t="s">
        <v>4351</v>
      </c>
      <c r="C2284" s="14" t="s">
        <v>4352</v>
      </c>
      <c r="D2284" s="14">
        <v>10</v>
      </c>
      <c r="E2284" s="15">
        <v>15.69</v>
      </c>
      <c r="F2284" s="16" t="s">
        <v>4214</v>
      </c>
      <c r="G2284" s="38" t="str">
        <f>HYPERLINK("http://enext.ua/s024067")</f>
        <v>http://enext.ua/s024067</v>
      </c>
    </row>
    <row r="2285" spans="2:7" ht="11.25" outlineLevel="5" x14ac:dyDescent="0.2">
      <c r="B2285" s="14" t="s">
        <v>4353</v>
      </c>
      <c r="C2285" s="14" t="s">
        <v>4354</v>
      </c>
      <c r="D2285" s="14">
        <v>10</v>
      </c>
      <c r="E2285" s="15">
        <v>24.09</v>
      </c>
      <c r="F2285" s="16" t="s">
        <v>4214</v>
      </c>
      <c r="G2285" s="38" t="str">
        <f>HYPERLINK("http://enext.ua/s024205")</f>
        <v>http://enext.ua/s024205</v>
      </c>
    </row>
    <row r="2286" spans="2:7" ht="12" outlineLevel="4" x14ac:dyDescent="0.2">
      <c r="B2286" s="12"/>
      <c r="C2286" s="37" t="s">
        <v>4355</v>
      </c>
      <c r="D2286" s="12"/>
      <c r="E2286" s="13"/>
      <c r="F2286" s="13"/>
      <c r="G2286" s="12"/>
    </row>
    <row r="2287" spans="2:7" ht="11.25" outlineLevel="5" x14ac:dyDescent="0.2">
      <c r="B2287" s="14" t="s">
        <v>4356</v>
      </c>
      <c r="C2287" s="14" t="s">
        <v>4357</v>
      </c>
      <c r="D2287" s="14">
        <v>10</v>
      </c>
      <c r="E2287" s="15">
        <v>26.5</v>
      </c>
      <c r="F2287" s="16" t="s">
        <v>4214</v>
      </c>
      <c r="G2287" s="38" t="str">
        <f>HYPERLINK("http://enext.ua/s024034")</f>
        <v>http://enext.ua/s024034</v>
      </c>
    </row>
    <row r="2288" spans="2:7" ht="11.25" outlineLevel="5" x14ac:dyDescent="0.2">
      <c r="B2288" s="14" t="s">
        <v>4358</v>
      </c>
      <c r="C2288" s="14" t="s">
        <v>4359</v>
      </c>
      <c r="D2288" s="14">
        <v>10</v>
      </c>
      <c r="E2288" s="15">
        <v>26.5</v>
      </c>
      <c r="F2288" s="16" t="s">
        <v>4214</v>
      </c>
      <c r="G2288" s="38" t="str">
        <f>HYPERLINK("http://enext.ua/s024033")</f>
        <v>http://enext.ua/s024033</v>
      </c>
    </row>
    <row r="2289" spans="2:7" ht="11.25" outlineLevel="5" x14ac:dyDescent="0.2">
      <c r="B2289" s="14" t="s">
        <v>4360</v>
      </c>
      <c r="C2289" s="14" t="s">
        <v>4361</v>
      </c>
      <c r="D2289" s="14">
        <v>10</v>
      </c>
      <c r="E2289" s="15">
        <v>26.5</v>
      </c>
      <c r="F2289" s="16" t="s">
        <v>4214</v>
      </c>
      <c r="G2289" s="38" t="str">
        <f>HYPERLINK("http://enext.ua/s024031")</f>
        <v>http://enext.ua/s024031</v>
      </c>
    </row>
    <row r="2290" spans="2:7" ht="11.25" outlineLevel="5" x14ac:dyDescent="0.2">
      <c r="B2290" s="14" t="s">
        <v>4362</v>
      </c>
      <c r="C2290" s="14" t="s">
        <v>4363</v>
      </c>
      <c r="D2290" s="14">
        <v>10</v>
      </c>
      <c r="E2290" s="15">
        <v>26.5</v>
      </c>
      <c r="F2290" s="16" t="s">
        <v>4214</v>
      </c>
      <c r="G2290" s="38" t="str">
        <f>HYPERLINK("http://enext.ua/s024032")</f>
        <v>http://enext.ua/s024032</v>
      </c>
    </row>
    <row r="2291" spans="2:7" ht="11.25" outlineLevel="5" x14ac:dyDescent="0.2">
      <c r="B2291" s="14" t="s">
        <v>4364</v>
      </c>
      <c r="C2291" s="14" t="s">
        <v>4365</v>
      </c>
      <c r="D2291" s="14">
        <v>10</v>
      </c>
      <c r="E2291" s="15">
        <v>26.5</v>
      </c>
      <c r="F2291" s="16" t="s">
        <v>4214</v>
      </c>
      <c r="G2291" s="38" t="str">
        <f>HYPERLINK("http://enext.ua/s024206")</f>
        <v>http://enext.ua/s024206</v>
      </c>
    </row>
    <row r="2292" spans="2:7" ht="11.25" outlineLevel="5" x14ac:dyDescent="0.2">
      <c r="B2292" s="14" t="s">
        <v>4366</v>
      </c>
      <c r="C2292" s="14" t="s">
        <v>4367</v>
      </c>
      <c r="D2292" s="14">
        <v>10</v>
      </c>
      <c r="E2292" s="15">
        <v>26.5</v>
      </c>
      <c r="F2292" s="16" t="s">
        <v>4214</v>
      </c>
      <c r="G2292" s="38" t="str">
        <f>HYPERLINK("http://enext.ua/s024095")</f>
        <v>http://enext.ua/s024095</v>
      </c>
    </row>
    <row r="2293" spans="2:7" ht="11.25" outlineLevel="5" x14ac:dyDescent="0.2">
      <c r="B2293" s="14" t="s">
        <v>4368</v>
      </c>
      <c r="C2293" s="14" t="s">
        <v>4369</v>
      </c>
      <c r="D2293" s="14">
        <v>10</v>
      </c>
      <c r="E2293" s="15">
        <v>26.5</v>
      </c>
      <c r="F2293" s="16" t="s">
        <v>4214</v>
      </c>
      <c r="G2293" s="38" t="str">
        <f>HYPERLINK("http://enext.ua/s024035")</f>
        <v>http://enext.ua/s024035</v>
      </c>
    </row>
    <row r="2294" spans="2:7" ht="11.25" outlineLevel="5" x14ac:dyDescent="0.2">
      <c r="B2294" s="14" t="s">
        <v>4370</v>
      </c>
      <c r="C2294" s="14" t="s">
        <v>4371</v>
      </c>
      <c r="D2294" s="14">
        <v>10</v>
      </c>
      <c r="E2294" s="15">
        <v>44.12</v>
      </c>
      <c r="F2294" s="16" t="s">
        <v>4214</v>
      </c>
      <c r="G2294" s="38" t="str">
        <f>HYPERLINK("http://enext.ua/s024207")</f>
        <v>http://enext.ua/s024207</v>
      </c>
    </row>
    <row r="2295" spans="2:7" ht="12" outlineLevel="4" x14ac:dyDescent="0.2">
      <c r="B2295" s="12"/>
      <c r="C2295" s="37" t="s">
        <v>4372</v>
      </c>
      <c r="D2295" s="12"/>
      <c r="E2295" s="13"/>
      <c r="F2295" s="13"/>
      <c r="G2295" s="12"/>
    </row>
    <row r="2296" spans="2:7" ht="11.25" outlineLevel="5" x14ac:dyDescent="0.2">
      <c r="B2296" s="14" t="s">
        <v>4373</v>
      </c>
      <c r="C2296" s="14" t="s">
        <v>4374</v>
      </c>
      <c r="D2296" s="14">
        <v>10</v>
      </c>
      <c r="E2296" s="15">
        <v>37.11</v>
      </c>
      <c r="F2296" s="16" t="s">
        <v>4214</v>
      </c>
      <c r="G2296" s="38" t="str">
        <f>HYPERLINK("http://enext.ua/s024039")</f>
        <v>http://enext.ua/s024039</v>
      </c>
    </row>
    <row r="2297" spans="2:7" ht="11.25" outlineLevel="5" x14ac:dyDescent="0.2">
      <c r="B2297" s="14" t="s">
        <v>4375</v>
      </c>
      <c r="C2297" s="14" t="s">
        <v>4376</v>
      </c>
      <c r="D2297" s="14">
        <v>10</v>
      </c>
      <c r="E2297" s="15">
        <v>37.11</v>
      </c>
      <c r="F2297" s="16" t="s">
        <v>4214</v>
      </c>
      <c r="G2297" s="38" t="str">
        <f>HYPERLINK("http://enext.ua/s024037")</f>
        <v>http://enext.ua/s024037</v>
      </c>
    </row>
    <row r="2298" spans="2:7" ht="11.25" outlineLevel="5" x14ac:dyDescent="0.2">
      <c r="B2298" s="14" t="s">
        <v>4377</v>
      </c>
      <c r="C2298" s="14" t="s">
        <v>4378</v>
      </c>
      <c r="D2298" s="14">
        <v>10</v>
      </c>
      <c r="E2298" s="15">
        <v>37.11</v>
      </c>
      <c r="F2298" s="16" t="s">
        <v>4214</v>
      </c>
      <c r="G2298" s="38" t="str">
        <f>HYPERLINK("http://enext.ua/s024040")</f>
        <v>http://enext.ua/s024040</v>
      </c>
    </row>
    <row r="2299" spans="2:7" ht="11.25" outlineLevel="5" x14ac:dyDescent="0.2">
      <c r="B2299" s="14" t="s">
        <v>4379</v>
      </c>
      <c r="C2299" s="14" t="s">
        <v>4380</v>
      </c>
      <c r="D2299" s="14">
        <v>10</v>
      </c>
      <c r="E2299" s="15">
        <v>37.11</v>
      </c>
      <c r="F2299" s="16" t="s">
        <v>4214</v>
      </c>
      <c r="G2299" s="38" t="str">
        <f>HYPERLINK("http://enext.ua/s024036")</f>
        <v>http://enext.ua/s024036</v>
      </c>
    </row>
    <row r="2300" spans="2:7" ht="11.25" outlineLevel="5" x14ac:dyDescent="0.2">
      <c r="B2300" s="14" t="s">
        <v>4381</v>
      </c>
      <c r="C2300" s="14" t="s">
        <v>4382</v>
      </c>
      <c r="D2300" s="14">
        <v>10</v>
      </c>
      <c r="E2300" s="15">
        <v>37.11</v>
      </c>
      <c r="F2300" s="16" t="s">
        <v>4214</v>
      </c>
      <c r="G2300" s="38" t="str">
        <f>HYPERLINK("http://enext.ua/s024208")</f>
        <v>http://enext.ua/s024208</v>
      </c>
    </row>
    <row r="2301" spans="2:7" ht="11.25" outlineLevel="5" x14ac:dyDescent="0.2">
      <c r="B2301" s="14" t="s">
        <v>4383</v>
      </c>
      <c r="C2301" s="14" t="s">
        <v>4384</v>
      </c>
      <c r="D2301" s="14">
        <v>10</v>
      </c>
      <c r="E2301" s="15">
        <v>37.11</v>
      </c>
      <c r="F2301" s="16" t="s">
        <v>4214</v>
      </c>
      <c r="G2301" s="38" t="str">
        <f>HYPERLINK("http://enext.ua/s024096")</f>
        <v>http://enext.ua/s024096</v>
      </c>
    </row>
    <row r="2302" spans="2:7" ht="11.25" outlineLevel="5" x14ac:dyDescent="0.2">
      <c r="B2302" s="14" t="s">
        <v>4385</v>
      </c>
      <c r="C2302" s="14" t="s">
        <v>4386</v>
      </c>
      <c r="D2302" s="14">
        <v>10</v>
      </c>
      <c r="E2302" s="15">
        <v>37.11</v>
      </c>
      <c r="F2302" s="16" t="s">
        <v>4214</v>
      </c>
      <c r="G2302" s="38" t="str">
        <f>HYPERLINK("http://enext.ua/s024038")</f>
        <v>http://enext.ua/s024038</v>
      </c>
    </row>
    <row r="2303" spans="2:7" ht="22.5" outlineLevel="5" x14ac:dyDescent="0.2">
      <c r="B2303" s="14" t="s">
        <v>4387</v>
      </c>
      <c r="C2303" s="14" t="s">
        <v>4388</v>
      </c>
      <c r="D2303" s="14">
        <v>10</v>
      </c>
      <c r="E2303" s="15">
        <v>58.12</v>
      </c>
      <c r="F2303" s="16" t="s">
        <v>4214</v>
      </c>
      <c r="G2303" s="38" t="str">
        <f>HYPERLINK("http://enext.ua/s024209")</f>
        <v>http://enext.ua/s024209</v>
      </c>
    </row>
    <row r="2304" spans="2:7" ht="12" outlineLevel="4" x14ac:dyDescent="0.2">
      <c r="B2304" s="12"/>
      <c r="C2304" s="37" t="s">
        <v>4389</v>
      </c>
      <c r="D2304" s="12"/>
      <c r="E2304" s="13"/>
      <c r="F2304" s="13"/>
      <c r="G2304" s="12"/>
    </row>
    <row r="2305" spans="2:7" ht="11.25" outlineLevel="5" x14ac:dyDescent="0.2">
      <c r="B2305" s="14" t="s">
        <v>4390</v>
      </c>
      <c r="C2305" s="14" t="s">
        <v>4391</v>
      </c>
      <c r="D2305" s="14">
        <v>10</v>
      </c>
      <c r="E2305" s="15">
        <v>46.59</v>
      </c>
      <c r="F2305" s="16" t="s">
        <v>4214</v>
      </c>
      <c r="G2305" s="38" t="str">
        <f>HYPERLINK("http://enext.ua/s024152")</f>
        <v>http://enext.ua/s024152</v>
      </c>
    </row>
    <row r="2306" spans="2:7" ht="11.25" outlineLevel="5" x14ac:dyDescent="0.2">
      <c r="B2306" s="14" t="s">
        <v>4392</v>
      </c>
      <c r="C2306" s="14" t="s">
        <v>4393</v>
      </c>
      <c r="D2306" s="14">
        <v>1</v>
      </c>
      <c r="E2306" s="15">
        <v>46.59</v>
      </c>
      <c r="F2306" s="16" t="s">
        <v>4214</v>
      </c>
      <c r="G2306" s="38" t="str">
        <f>HYPERLINK("http://enext.ua/s024154")</f>
        <v>http://enext.ua/s024154</v>
      </c>
    </row>
    <row r="2307" spans="2:7" ht="11.25" outlineLevel="5" x14ac:dyDescent="0.2">
      <c r="B2307" s="14" t="s">
        <v>4394</v>
      </c>
      <c r="C2307" s="14" t="s">
        <v>4395</v>
      </c>
      <c r="D2307" s="14">
        <v>10</v>
      </c>
      <c r="E2307" s="15">
        <v>46.59</v>
      </c>
      <c r="F2307" s="16" t="s">
        <v>4214</v>
      </c>
      <c r="G2307" s="38" t="str">
        <f>HYPERLINK("http://enext.ua/s024150")</f>
        <v>http://enext.ua/s024150</v>
      </c>
    </row>
    <row r="2308" spans="2:7" ht="11.25" outlineLevel="5" x14ac:dyDescent="0.2">
      <c r="B2308" s="14" t="s">
        <v>4396</v>
      </c>
      <c r="C2308" s="14" t="s">
        <v>4397</v>
      </c>
      <c r="D2308" s="14">
        <v>1</v>
      </c>
      <c r="E2308" s="15">
        <v>46.59</v>
      </c>
      <c r="F2308" s="16" t="s">
        <v>4214</v>
      </c>
      <c r="G2308" s="38" t="str">
        <f>HYPERLINK("http://enext.ua/s024153")</f>
        <v>http://enext.ua/s024153</v>
      </c>
    </row>
    <row r="2309" spans="2:7" ht="11.25" outlineLevel="5" x14ac:dyDescent="0.2">
      <c r="B2309" s="14" t="s">
        <v>4398</v>
      </c>
      <c r="C2309" s="14" t="s">
        <v>4399</v>
      </c>
      <c r="D2309" s="14">
        <v>10</v>
      </c>
      <c r="E2309" s="15">
        <v>46.59</v>
      </c>
      <c r="F2309" s="16" t="s">
        <v>4214</v>
      </c>
      <c r="G2309" s="38" t="str">
        <f>HYPERLINK("http://enext.ua/s024210")</f>
        <v>http://enext.ua/s024210</v>
      </c>
    </row>
    <row r="2310" spans="2:7" ht="11.25" outlineLevel="5" x14ac:dyDescent="0.2">
      <c r="B2310" s="14" t="s">
        <v>4400</v>
      </c>
      <c r="C2310" s="14" t="s">
        <v>4401</v>
      </c>
      <c r="D2310" s="14">
        <v>1</v>
      </c>
      <c r="E2310" s="15">
        <v>46.59</v>
      </c>
      <c r="F2310" s="16" t="s">
        <v>4214</v>
      </c>
      <c r="G2310" s="38" t="str">
        <f>HYPERLINK("http://enext.ua/s024151")</f>
        <v>http://enext.ua/s024151</v>
      </c>
    </row>
    <row r="2311" spans="2:7" ht="22.5" outlineLevel="5" x14ac:dyDescent="0.2">
      <c r="B2311" s="14" t="s">
        <v>4402</v>
      </c>
      <c r="C2311" s="14" t="s">
        <v>4403</v>
      </c>
      <c r="D2311" s="14">
        <v>10</v>
      </c>
      <c r="E2311" s="15">
        <v>72.25</v>
      </c>
      <c r="F2311" s="16" t="s">
        <v>4214</v>
      </c>
      <c r="G2311" s="38" t="str">
        <f>HYPERLINK("http://enext.ua/s024211")</f>
        <v>http://enext.ua/s024211</v>
      </c>
    </row>
    <row r="2312" spans="2:7" ht="12" outlineLevel="4" x14ac:dyDescent="0.2">
      <c r="B2312" s="12"/>
      <c r="C2312" s="37" t="s">
        <v>4404</v>
      </c>
      <c r="D2312" s="12"/>
      <c r="E2312" s="13"/>
      <c r="F2312" s="13"/>
      <c r="G2312" s="12"/>
    </row>
    <row r="2313" spans="2:7" ht="11.25" outlineLevel="5" x14ac:dyDescent="0.2">
      <c r="B2313" s="14" t="s">
        <v>4405</v>
      </c>
      <c r="C2313" s="14" t="s">
        <v>4406</v>
      </c>
      <c r="D2313" s="14">
        <v>10</v>
      </c>
      <c r="E2313" s="15">
        <v>74.11</v>
      </c>
      <c r="F2313" s="16" t="s">
        <v>4214</v>
      </c>
      <c r="G2313" s="38" t="str">
        <f>HYPERLINK("http://enext.ua/s024045")</f>
        <v>http://enext.ua/s024045</v>
      </c>
    </row>
    <row r="2314" spans="2:7" ht="11.25" outlineLevel="5" x14ac:dyDescent="0.2">
      <c r="B2314" s="14" t="s">
        <v>4407</v>
      </c>
      <c r="C2314" s="14" t="s">
        <v>4408</v>
      </c>
      <c r="D2314" s="14">
        <v>10</v>
      </c>
      <c r="E2314" s="15">
        <v>74.11</v>
      </c>
      <c r="F2314" s="16" t="s">
        <v>4214</v>
      </c>
      <c r="G2314" s="38" t="str">
        <f>HYPERLINK("http://enext.ua/s024042")</f>
        <v>http://enext.ua/s024042</v>
      </c>
    </row>
    <row r="2315" spans="2:7" ht="11.25" outlineLevel="5" x14ac:dyDescent="0.2">
      <c r="B2315" s="14" t="s">
        <v>4409</v>
      </c>
      <c r="C2315" s="14" t="s">
        <v>4410</v>
      </c>
      <c r="D2315" s="14">
        <v>10</v>
      </c>
      <c r="E2315" s="15">
        <v>74.11</v>
      </c>
      <c r="F2315" s="16" t="s">
        <v>4214</v>
      </c>
      <c r="G2315" s="38" t="str">
        <f>HYPERLINK("http://enext.ua/s024043")</f>
        <v>http://enext.ua/s024043</v>
      </c>
    </row>
    <row r="2316" spans="2:7" ht="11.25" outlineLevel="5" x14ac:dyDescent="0.2">
      <c r="B2316" s="14" t="s">
        <v>4411</v>
      </c>
      <c r="C2316" s="14" t="s">
        <v>4412</v>
      </c>
      <c r="D2316" s="14">
        <v>10</v>
      </c>
      <c r="E2316" s="15">
        <v>74.11</v>
      </c>
      <c r="F2316" s="16" t="s">
        <v>4214</v>
      </c>
      <c r="G2316" s="38" t="str">
        <f>HYPERLINK("http://enext.ua/s024041")</f>
        <v>http://enext.ua/s024041</v>
      </c>
    </row>
    <row r="2317" spans="2:7" ht="11.25" outlineLevel="5" x14ac:dyDescent="0.2">
      <c r="B2317" s="14" t="s">
        <v>4413</v>
      </c>
      <c r="C2317" s="14" t="s">
        <v>4414</v>
      </c>
      <c r="D2317" s="14">
        <v>10</v>
      </c>
      <c r="E2317" s="15">
        <v>74.11</v>
      </c>
      <c r="F2317" s="16" t="s">
        <v>4214</v>
      </c>
      <c r="G2317" s="38" t="str">
        <f>HYPERLINK("http://enext.ua/s024097")</f>
        <v>http://enext.ua/s024097</v>
      </c>
    </row>
    <row r="2318" spans="2:7" ht="11.25" outlineLevel="5" x14ac:dyDescent="0.2">
      <c r="B2318" s="14" t="s">
        <v>4415</v>
      </c>
      <c r="C2318" s="14" t="s">
        <v>4416</v>
      </c>
      <c r="D2318" s="14">
        <v>10</v>
      </c>
      <c r="E2318" s="15">
        <v>74.11</v>
      </c>
      <c r="F2318" s="16" t="s">
        <v>4214</v>
      </c>
      <c r="G2318" s="38" t="str">
        <f>HYPERLINK("http://enext.ua/s024044")</f>
        <v>http://enext.ua/s024044</v>
      </c>
    </row>
    <row r="2319" spans="2:7" ht="12" outlineLevel="4" x14ac:dyDescent="0.2">
      <c r="B2319" s="12"/>
      <c r="C2319" s="37" t="s">
        <v>4417</v>
      </c>
      <c r="D2319" s="12"/>
      <c r="E2319" s="13"/>
      <c r="F2319" s="13"/>
      <c r="G2319" s="12"/>
    </row>
    <row r="2320" spans="2:7" ht="11.25" outlineLevel="5" x14ac:dyDescent="0.2">
      <c r="B2320" s="14" t="s">
        <v>4418</v>
      </c>
      <c r="C2320" s="14" t="s">
        <v>4419</v>
      </c>
      <c r="D2320" s="14">
        <v>1</v>
      </c>
      <c r="E2320" s="15">
        <v>89.82</v>
      </c>
      <c r="F2320" s="16" t="s">
        <v>4214</v>
      </c>
      <c r="G2320" s="38" t="str">
        <f>HYPERLINK("http://enext.ua/s024050")</f>
        <v>http://enext.ua/s024050</v>
      </c>
    </row>
    <row r="2321" spans="2:7" ht="11.25" outlineLevel="5" x14ac:dyDescent="0.2">
      <c r="B2321" s="14" t="s">
        <v>4420</v>
      </c>
      <c r="C2321" s="14" t="s">
        <v>4421</v>
      </c>
      <c r="D2321" s="14">
        <v>1</v>
      </c>
      <c r="E2321" s="15">
        <v>89.82</v>
      </c>
      <c r="F2321" s="16" t="s">
        <v>4214</v>
      </c>
      <c r="G2321" s="38" t="str">
        <f>HYPERLINK("http://enext.ua/s024048")</f>
        <v>http://enext.ua/s024048</v>
      </c>
    </row>
    <row r="2322" spans="2:7" ht="11.25" outlineLevel="5" x14ac:dyDescent="0.2">
      <c r="B2322" s="14" t="s">
        <v>4422</v>
      </c>
      <c r="C2322" s="14" t="s">
        <v>4423</v>
      </c>
      <c r="D2322" s="14">
        <v>1</v>
      </c>
      <c r="E2322" s="15">
        <v>89.82</v>
      </c>
      <c r="F2322" s="16" t="s">
        <v>4214</v>
      </c>
      <c r="G2322" s="38" t="str">
        <f>HYPERLINK("http://enext.ua/s024046")</f>
        <v>http://enext.ua/s024046</v>
      </c>
    </row>
    <row r="2323" spans="2:7" ht="11.25" outlineLevel="5" x14ac:dyDescent="0.2">
      <c r="B2323" s="14" t="s">
        <v>4424</v>
      </c>
      <c r="C2323" s="14" t="s">
        <v>4425</v>
      </c>
      <c r="D2323" s="14">
        <v>1</v>
      </c>
      <c r="E2323" s="15">
        <v>89.82</v>
      </c>
      <c r="F2323" s="16" t="s">
        <v>4214</v>
      </c>
      <c r="G2323" s="38" t="str">
        <f>HYPERLINK("http://enext.ua/s024049")</f>
        <v>http://enext.ua/s024049</v>
      </c>
    </row>
    <row r="2324" spans="2:7" ht="11.25" outlineLevel="5" x14ac:dyDescent="0.2">
      <c r="B2324" s="14" t="s">
        <v>4426</v>
      </c>
      <c r="C2324" s="14" t="s">
        <v>4427</v>
      </c>
      <c r="D2324" s="14">
        <v>1</v>
      </c>
      <c r="E2324" s="15">
        <v>89.82</v>
      </c>
      <c r="F2324" s="16" t="s">
        <v>4214</v>
      </c>
      <c r="G2324" s="38" t="str">
        <f>HYPERLINK("http://enext.ua/s024098")</f>
        <v>http://enext.ua/s024098</v>
      </c>
    </row>
    <row r="2325" spans="2:7" ht="11.25" outlineLevel="5" x14ac:dyDescent="0.2">
      <c r="B2325" s="14" t="s">
        <v>4428</v>
      </c>
      <c r="C2325" s="14" t="s">
        <v>4429</v>
      </c>
      <c r="D2325" s="14">
        <v>1</v>
      </c>
      <c r="E2325" s="15">
        <v>89.82</v>
      </c>
      <c r="F2325" s="16" t="s">
        <v>4214</v>
      </c>
      <c r="G2325" s="38" t="str">
        <f>HYPERLINK("http://enext.ua/s024047")</f>
        <v>http://enext.ua/s024047</v>
      </c>
    </row>
    <row r="2326" spans="2:7" ht="12" outlineLevel="4" x14ac:dyDescent="0.2">
      <c r="B2326" s="12"/>
      <c r="C2326" s="37" t="s">
        <v>4430</v>
      </c>
      <c r="D2326" s="12"/>
      <c r="E2326" s="13"/>
      <c r="F2326" s="13"/>
      <c r="G2326" s="12"/>
    </row>
    <row r="2327" spans="2:7" ht="11.25" outlineLevel="5" x14ac:dyDescent="0.2">
      <c r="B2327" s="14" t="s">
        <v>4431</v>
      </c>
      <c r="C2327" s="14" t="s">
        <v>4432</v>
      </c>
      <c r="D2327" s="14">
        <v>10</v>
      </c>
      <c r="E2327" s="15">
        <v>90.38</v>
      </c>
      <c r="F2327" s="16" t="s">
        <v>4214</v>
      </c>
      <c r="G2327" s="38" t="str">
        <f>HYPERLINK("http://enext.ua/s024099")</f>
        <v>http://enext.ua/s024099</v>
      </c>
    </row>
    <row r="2328" spans="2:7" ht="11.25" outlineLevel="5" x14ac:dyDescent="0.2">
      <c r="B2328" s="14" t="s">
        <v>4433</v>
      </c>
      <c r="C2328" s="14" t="s">
        <v>4434</v>
      </c>
      <c r="D2328" s="14">
        <v>10</v>
      </c>
      <c r="E2328" s="15">
        <v>90.38</v>
      </c>
      <c r="F2328" s="16" t="s">
        <v>4214</v>
      </c>
      <c r="G2328" s="38" t="str">
        <f>HYPERLINK("http://enext.ua/s024158")</f>
        <v>http://enext.ua/s024158</v>
      </c>
    </row>
    <row r="2329" spans="2:7" ht="11.25" outlineLevel="5" x14ac:dyDescent="0.2">
      <c r="B2329" s="14" t="s">
        <v>4435</v>
      </c>
      <c r="C2329" s="14" t="s">
        <v>4436</v>
      </c>
      <c r="D2329" s="14">
        <v>10</v>
      </c>
      <c r="E2329" s="15">
        <v>90.38</v>
      </c>
      <c r="F2329" s="16" t="s">
        <v>4214</v>
      </c>
      <c r="G2329" s="38" t="str">
        <f>HYPERLINK("http://enext.ua/s024155")</f>
        <v>http://enext.ua/s024155</v>
      </c>
    </row>
    <row r="2330" spans="2:7" ht="11.25" outlineLevel="5" x14ac:dyDescent="0.2">
      <c r="B2330" s="14" t="s">
        <v>4437</v>
      </c>
      <c r="C2330" s="14" t="s">
        <v>4438</v>
      </c>
      <c r="D2330" s="14">
        <v>10</v>
      </c>
      <c r="E2330" s="15">
        <v>90.38</v>
      </c>
      <c r="F2330" s="16" t="s">
        <v>4214</v>
      </c>
      <c r="G2330" s="38" t="str">
        <f>HYPERLINK("http://enext.ua/s024157")</f>
        <v>http://enext.ua/s024157</v>
      </c>
    </row>
    <row r="2331" spans="2:7" ht="11.25" outlineLevel="5" x14ac:dyDescent="0.2">
      <c r="B2331" s="14" t="s">
        <v>4439</v>
      </c>
      <c r="C2331" s="14" t="s">
        <v>4440</v>
      </c>
      <c r="D2331" s="14">
        <v>10</v>
      </c>
      <c r="E2331" s="15">
        <v>90.38</v>
      </c>
      <c r="F2331" s="16" t="s">
        <v>4214</v>
      </c>
      <c r="G2331" s="38" t="str">
        <f>HYPERLINK("http://enext.ua/s024156")</f>
        <v>http://enext.ua/s024156</v>
      </c>
    </row>
    <row r="2332" spans="2:7" ht="12" outlineLevel="4" x14ac:dyDescent="0.2">
      <c r="B2332" s="12"/>
      <c r="C2332" s="37" t="s">
        <v>4441</v>
      </c>
      <c r="D2332" s="12"/>
      <c r="E2332" s="13"/>
      <c r="F2332" s="13"/>
      <c r="G2332" s="12"/>
    </row>
    <row r="2333" spans="2:7" ht="11.25" outlineLevel="5" x14ac:dyDescent="0.2">
      <c r="B2333" s="14" t="s">
        <v>4442</v>
      </c>
      <c r="C2333" s="14" t="s">
        <v>4443</v>
      </c>
      <c r="D2333" s="14">
        <v>10</v>
      </c>
      <c r="E2333" s="15">
        <v>150.25</v>
      </c>
      <c r="F2333" s="16" t="s">
        <v>4214</v>
      </c>
      <c r="G2333" s="38" t="str">
        <f>HYPERLINK("http://enext.ua/s024164")</f>
        <v>http://enext.ua/s024164</v>
      </c>
    </row>
    <row r="2334" spans="2:7" ht="11.25" outlineLevel="5" x14ac:dyDescent="0.2">
      <c r="B2334" s="14" t="s">
        <v>4444</v>
      </c>
      <c r="C2334" s="14" t="s">
        <v>4445</v>
      </c>
      <c r="D2334" s="14">
        <v>10</v>
      </c>
      <c r="E2334" s="15">
        <v>150.25</v>
      </c>
      <c r="F2334" s="16" t="s">
        <v>4214</v>
      </c>
      <c r="G2334" s="38" t="str">
        <f>HYPERLINK("http://enext.ua/s024166")</f>
        <v>http://enext.ua/s024166</v>
      </c>
    </row>
    <row r="2335" spans="2:7" ht="11.25" outlineLevel="5" x14ac:dyDescent="0.2">
      <c r="B2335" s="14" t="s">
        <v>4446</v>
      </c>
      <c r="C2335" s="14" t="s">
        <v>4447</v>
      </c>
      <c r="D2335" s="14">
        <v>10</v>
      </c>
      <c r="E2335" s="15">
        <v>150.25</v>
      </c>
      <c r="F2335" s="16" t="s">
        <v>4214</v>
      </c>
      <c r="G2335" s="38" t="str">
        <f>HYPERLINK("http://enext.ua/s024162")</f>
        <v>http://enext.ua/s024162</v>
      </c>
    </row>
    <row r="2336" spans="2:7" ht="11.25" outlineLevel="5" x14ac:dyDescent="0.2">
      <c r="B2336" s="14" t="s">
        <v>4448</v>
      </c>
      <c r="C2336" s="14" t="s">
        <v>4449</v>
      </c>
      <c r="D2336" s="14">
        <v>10</v>
      </c>
      <c r="E2336" s="15">
        <v>150.25</v>
      </c>
      <c r="F2336" s="16" t="s">
        <v>4214</v>
      </c>
      <c r="G2336" s="38" t="str">
        <f>HYPERLINK("http://enext.ua/s024165")</f>
        <v>http://enext.ua/s024165</v>
      </c>
    </row>
    <row r="2337" spans="2:7" ht="11.25" outlineLevel="5" x14ac:dyDescent="0.2">
      <c r="B2337" s="14" t="s">
        <v>4450</v>
      </c>
      <c r="C2337" s="14" t="s">
        <v>4451</v>
      </c>
      <c r="D2337" s="14">
        <v>10</v>
      </c>
      <c r="E2337" s="15">
        <v>150.25</v>
      </c>
      <c r="F2337" s="16" t="s">
        <v>4214</v>
      </c>
      <c r="G2337" s="38" t="str">
        <f>HYPERLINK("http://enext.ua/s024163")</f>
        <v>http://enext.ua/s024163</v>
      </c>
    </row>
    <row r="2338" spans="2:7" ht="12" outlineLevel="4" x14ac:dyDescent="0.2">
      <c r="B2338" s="12"/>
      <c r="C2338" s="37" t="s">
        <v>4452</v>
      </c>
      <c r="D2338" s="12"/>
      <c r="E2338" s="13"/>
      <c r="F2338" s="13"/>
      <c r="G2338" s="12"/>
    </row>
    <row r="2339" spans="2:7" ht="11.25" outlineLevel="5" x14ac:dyDescent="0.2">
      <c r="B2339" s="14" t="s">
        <v>4453</v>
      </c>
      <c r="C2339" s="14" t="s">
        <v>4454</v>
      </c>
      <c r="D2339" s="14">
        <v>10</v>
      </c>
      <c r="E2339" s="15">
        <v>156.6</v>
      </c>
      <c r="F2339" s="16" t="s">
        <v>4214</v>
      </c>
      <c r="G2339" s="38" t="str">
        <f>HYPERLINK("http://enext.ua/s024174")</f>
        <v>http://enext.ua/s024174</v>
      </c>
    </row>
    <row r="2340" spans="2:7" ht="11.25" outlineLevel="5" x14ac:dyDescent="0.2">
      <c r="B2340" s="14" t="s">
        <v>4455</v>
      </c>
      <c r="C2340" s="14" t="s">
        <v>4456</v>
      </c>
      <c r="D2340" s="14">
        <v>10</v>
      </c>
      <c r="E2340" s="15">
        <v>156.6</v>
      </c>
      <c r="F2340" s="16" t="s">
        <v>4214</v>
      </c>
      <c r="G2340" s="38" t="str">
        <f>HYPERLINK("http://enext.ua/s024176")</f>
        <v>http://enext.ua/s024176</v>
      </c>
    </row>
    <row r="2341" spans="2:7" ht="11.25" outlineLevel="5" x14ac:dyDescent="0.2">
      <c r="B2341" s="14" t="s">
        <v>4457</v>
      </c>
      <c r="C2341" s="14" t="s">
        <v>4458</v>
      </c>
      <c r="D2341" s="14">
        <v>10</v>
      </c>
      <c r="E2341" s="15">
        <v>156.6</v>
      </c>
      <c r="F2341" s="16" t="s">
        <v>4214</v>
      </c>
      <c r="G2341" s="38" t="str">
        <f>HYPERLINK("http://enext.ua/s024172")</f>
        <v>http://enext.ua/s024172</v>
      </c>
    </row>
    <row r="2342" spans="2:7" ht="11.25" outlineLevel="5" x14ac:dyDescent="0.2">
      <c r="B2342" s="14" t="s">
        <v>4459</v>
      </c>
      <c r="C2342" s="14" t="s">
        <v>4460</v>
      </c>
      <c r="D2342" s="14">
        <v>1</v>
      </c>
      <c r="E2342" s="15">
        <v>156.6</v>
      </c>
      <c r="F2342" s="16" t="s">
        <v>4214</v>
      </c>
      <c r="G2342" s="38" t="str">
        <f>HYPERLINK("http://enext.ua/s024175")</f>
        <v>http://enext.ua/s024175</v>
      </c>
    </row>
    <row r="2343" spans="2:7" ht="11.25" outlineLevel="5" x14ac:dyDescent="0.2">
      <c r="B2343" s="14" t="s">
        <v>4461</v>
      </c>
      <c r="C2343" s="14" t="s">
        <v>4462</v>
      </c>
      <c r="D2343" s="14">
        <v>10</v>
      </c>
      <c r="E2343" s="15">
        <v>156.6</v>
      </c>
      <c r="F2343" s="16" t="s">
        <v>4214</v>
      </c>
      <c r="G2343" s="38" t="str">
        <f>HYPERLINK("http://enext.ua/s024173")</f>
        <v>http://enext.ua/s024173</v>
      </c>
    </row>
    <row r="2344" spans="2:7" ht="12" outlineLevel="4" x14ac:dyDescent="0.2">
      <c r="B2344" s="12"/>
      <c r="C2344" s="37" t="s">
        <v>4463</v>
      </c>
      <c r="D2344" s="12"/>
      <c r="E2344" s="13"/>
      <c r="F2344" s="13"/>
      <c r="G2344" s="12"/>
    </row>
    <row r="2345" spans="2:7" ht="11.25" outlineLevel="5" x14ac:dyDescent="0.2">
      <c r="B2345" s="14" t="s">
        <v>4464</v>
      </c>
      <c r="C2345" s="14" t="s">
        <v>4465</v>
      </c>
      <c r="D2345" s="14">
        <v>1</v>
      </c>
      <c r="E2345" s="15">
        <v>233.75</v>
      </c>
      <c r="F2345" s="16" t="s">
        <v>4214</v>
      </c>
      <c r="G2345" s="38" t="str">
        <f>HYPERLINK("http://enext.ua/s024179")</f>
        <v>http://enext.ua/s024179</v>
      </c>
    </row>
    <row r="2346" spans="2:7" ht="11.25" outlineLevel="5" x14ac:dyDescent="0.2">
      <c r="B2346" s="14" t="s">
        <v>4466</v>
      </c>
      <c r="C2346" s="14" t="s">
        <v>4467</v>
      </c>
      <c r="D2346" s="14">
        <v>1</v>
      </c>
      <c r="E2346" s="15">
        <v>233.75</v>
      </c>
      <c r="F2346" s="16" t="s">
        <v>4214</v>
      </c>
      <c r="G2346" s="38" t="str">
        <f>HYPERLINK("http://enext.ua/s024181")</f>
        <v>http://enext.ua/s024181</v>
      </c>
    </row>
    <row r="2347" spans="2:7" ht="11.25" outlineLevel="5" x14ac:dyDescent="0.2">
      <c r="B2347" s="14" t="s">
        <v>4468</v>
      </c>
      <c r="C2347" s="14" t="s">
        <v>4469</v>
      </c>
      <c r="D2347" s="14">
        <v>1</v>
      </c>
      <c r="E2347" s="15">
        <v>233.75</v>
      </c>
      <c r="F2347" s="16" t="s">
        <v>4214</v>
      </c>
      <c r="G2347" s="38" t="str">
        <f>HYPERLINK("http://enext.ua/s024180")</f>
        <v>http://enext.ua/s024180</v>
      </c>
    </row>
    <row r="2348" spans="2:7" ht="11.25" outlineLevel="5" x14ac:dyDescent="0.2">
      <c r="B2348" s="14" t="s">
        <v>4470</v>
      </c>
      <c r="C2348" s="14" t="s">
        <v>4471</v>
      </c>
      <c r="D2348" s="14">
        <v>1</v>
      </c>
      <c r="E2348" s="15">
        <v>233.75</v>
      </c>
      <c r="F2348" s="16" t="s">
        <v>4214</v>
      </c>
      <c r="G2348" s="38" t="str">
        <f>HYPERLINK("http://enext.ua/s024178")</f>
        <v>http://enext.ua/s024178</v>
      </c>
    </row>
    <row r="2349" spans="2:7" ht="12" outlineLevel="4" x14ac:dyDescent="0.2">
      <c r="B2349" s="12"/>
      <c r="C2349" s="37" t="s">
        <v>4472</v>
      </c>
      <c r="D2349" s="12"/>
      <c r="E2349" s="13"/>
      <c r="F2349" s="13"/>
      <c r="G2349" s="12"/>
    </row>
    <row r="2350" spans="2:7" ht="11.25" outlineLevel="5" x14ac:dyDescent="0.2">
      <c r="B2350" s="14" t="s">
        <v>4473</v>
      </c>
      <c r="C2350" s="14" t="s">
        <v>4474</v>
      </c>
      <c r="D2350" s="14">
        <v>1</v>
      </c>
      <c r="E2350" s="15">
        <v>342.27</v>
      </c>
      <c r="F2350" s="16" t="s">
        <v>4214</v>
      </c>
      <c r="G2350" s="38" t="str">
        <f>HYPERLINK("http://enext.ua/s024184")</f>
        <v>http://enext.ua/s024184</v>
      </c>
    </row>
    <row r="2351" spans="2:7" ht="11.25" outlineLevel="5" x14ac:dyDescent="0.2">
      <c r="B2351" s="14" t="s">
        <v>4475</v>
      </c>
      <c r="C2351" s="14" t="s">
        <v>4476</v>
      </c>
      <c r="D2351" s="14">
        <v>10</v>
      </c>
      <c r="E2351" s="15">
        <v>342.27</v>
      </c>
      <c r="F2351" s="16" t="s">
        <v>4214</v>
      </c>
      <c r="G2351" s="38" t="str">
        <f>HYPERLINK("http://enext.ua/s024186")</f>
        <v>http://enext.ua/s024186</v>
      </c>
    </row>
    <row r="2352" spans="2:7" ht="11.25" outlineLevel="5" x14ac:dyDescent="0.2">
      <c r="B2352" s="14" t="s">
        <v>4477</v>
      </c>
      <c r="C2352" s="14" t="s">
        <v>4478</v>
      </c>
      <c r="D2352" s="14">
        <v>10</v>
      </c>
      <c r="E2352" s="15">
        <v>342.27</v>
      </c>
      <c r="F2352" s="16" t="s">
        <v>4214</v>
      </c>
      <c r="G2352" s="38" t="str">
        <f>HYPERLINK("http://enext.ua/s024182")</f>
        <v>http://enext.ua/s024182</v>
      </c>
    </row>
    <row r="2353" spans="2:7" ht="11.25" outlineLevel="5" x14ac:dyDescent="0.2">
      <c r="B2353" s="14" t="s">
        <v>4479</v>
      </c>
      <c r="C2353" s="14" t="s">
        <v>4480</v>
      </c>
      <c r="D2353" s="14">
        <v>10</v>
      </c>
      <c r="E2353" s="15">
        <v>342.27</v>
      </c>
      <c r="F2353" s="16" t="s">
        <v>4214</v>
      </c>
      <c r="G2353" s="38" t="str">
        <f>HYPERLINK("http://enext.ua/s024185")</f>
        <v>http://enext.ua/s024185</v>
      </c>
    </row>
    <row r="2354" spans="2:7" ht="11.25" outlineLevel="5" x14ac:dyDescent="0.2">
      <c r="B2354" s="14" t="s">
        <v>4481</v>
      </c>
      <c r="C2354" s="14" t="s">
        <v>4482</v>
      </c>
      <c r="D2354" s="14">
        <v>10</v>
      </c>
      <c r="E2354" s="15">
        <v>342.27</v>
      </c>
      <c r="F2354" s="16" t="s">
        <v>4214</v>
      </c>
      <c r="G2354" s="38" t="str">
        <f>HYPERLINK("http://enext.ua/s024183")</f>
        <v>http://enext.ua/s024183</v>
      </c>
    </row>
    <row r="2355" spans="2:7" ht="12" outlineLevel="4" x14ac:dyDescent="0.2">
      <c r="B2355" s="12"/>
      <c r="C2355" s="37" t="s">
        <v>4483</v>
      </c>
      <c r="D2355" s="12"/>
      <c r="E2355" s="13"/>
      <c r="F2355" s="13"/>
      <c r="G2355" s="12"/>
    </row>
    <row r="2356" spans="2:7" ht="11.25" outlineLevel="5" x14ac:dyDescent="0.2">
      <c r="B2356" s="14" t="s">
        <v>4484</v>
      </c>
      <c r="C2356" s="14" t="s">
        <v>4485</v>
      </c>
      <c r="D2356" s="14">
        <v>1</v>
      </c>
      <c r="E2356" s="15">
        <v>31.73</v>
      </c>
      <c r="F2356" s="16" t="s">
        <v>4092</v>
      </c>
      <c r="G2356" s="38" t="str">
        <f>HYPERLINK("http://enext.ua/s063001")</f>
        <v>http://enext.ua/s063001</v>
      </c>
    </row>
    <row r="2357" spans="2:7" ht="11.25" outlineLevel="5" x14ac:dyDescent="0.2">
      <c r="B2357" s="14" t="s">
        <v>4486</v>
      </c>
      <c r="C2357" s="14" t="s">
        <v>4487</v>
      </c>
      <c r="D2357" s="14">
        <v>1</v>
      </c>
      <c r="E2357" s="15">
        <v>37.159999999999997</v>
      </c>
      <c r="F2357" s="16" t="s">
        <v>4092</v>
      </c>
      <c r="G2357" s="38" t="str">
        <f>HYPERLINK("http://enext.ua/s063002")</f>
        <v>http://enext.ua/s063002</v>
      </c>
    </row>
    <row r="2358" spans="2:7" ht="11.25" outlineLevel="5" x14ac:dyDescent="0.2">
      <c r="B2358" s="14" t="s">
        <v>4488</v>
      </c>
      <c r="C2358" s="14" t="s">
        <v>4489</v>
      </c>
      <c r="D2358" s="14">
        <v>1</v>
      </c>
      <c r="E2358" s="15">
        <v>41.25</v>
      </c>
      <c r="F2358" s="16" t="s">
        <v>4092</v>
      </c>
      <c r="G2358" s="38" t="str">
        <f>HYPERLINK("http://enext.ua/s063003")</f>
        <v>http://enext.ua/s063003</v>
      </c>
    </row>
    <row r="2359" spans="2:7" ht="11.25" outlineLevel="5" x14ac:dyDescent="0.2">
      <c r="B2359" s="14" t="s">
        <v>4490</v>
      </c>
      <c r="C2359" s="14" t="s">
        <v>4491</v>
      </c>
      <c r="D2359" s="14">
        <v>1</v>
      </c>
      <c r="E2359" s="15">
        <v>44.24</v>
      </c>
      <c r="F2359" s="16" t="s">
        <v>4092</v>
      </c>
      <c r="G2359" s="38" t="str">
        <f>HYPERLINK("http://enext.ua/s063004")</f>
        <v>http://enext.ua/s063004</v>
      </c>
    </row>
    <row r="2360" spans="2:7" ht="22.5" outlineLevel="5" x14ac:dyDescent="0.2">
      <c r="B2360" s="14" t="s">
        <v>4492</v>
      </c>
      <c r="C2360" s="14" t="s">
        <v>4493</v>
      </c>
      <c r="D2360" s="14">
        <v>1</v>
      </c>
      <c r="E2360" s="15">
        <v>47.85</v>
      </c>
      <c r="F2360" s="16" t="s">
        <v>4092</v>
      </c>
      <c r="G2360" s="38" t="str">
        <f>HYPERLINK("http://enext.ua/s063005")</f>
        <v>http://enext.ua/s063005</v>
      </c>
    </row>
    <row r="2361" spans="2:7" ht="22.5" outlineLevel="5" x14ac:dyDescent="0.2">
      <c r="B2361" s="14" t="s">
        <v>4494</v>
      </c>
      <c r="C2361" s="14" t="s">
        <v>4495</v>
      </c>
      <c r="D2361" s="14">
        <v>1</v>
      </c>
      <c r="E2361" s="15">
        <v>51.45</v>
      </c>
      <c r="F2361" s="16" t="s">
        <v>4092</v>
      </c>
      <c r="G2361" s="38" t="str">
        <f>HYPERLINK("http://enext.ua/s063006")</f>
        <v>http://enext.ua/s063006</v>
      </c>
    </row>
    <row r="2362" spans="2:7" ht="22.5" outlineLevel="5" x14ac:dyDescent="0.2">
      <c r="B2362" s="14" t="s">
        <v>4496</v>
      </c>
      <c r="C2362" s="14" t="s">
        <v>4497</v>
      </c>
      <c r="D2362" s="14">
        <v>1</v>
      </c>
      <c r="E2362" s="15">
        <v>59.85</v>
      </c>
      <c r="F2362" s="16" t="s">
        <v>4092</v>
      </c>
      <c r="G2362" s="38" t="str">
        <f>HYPERLINK("http://enext.ua/s063007")</f>
        <v>http://enext.ua/s063007</v>
      </c>
    </row>
    <row r="2363" spans="2:7" ht="22.5" outlineLevel="5" x14ac:dyDescent="0.2">
      <c r="B2363" s="14" t="s">
        <v>4498</v>
      </c>
      <c r="C2363" s="14" t="s">
        <v>4499</v>
      </c>
      <c r="D2363" s="14">
        <v>1</v>
      </c>
      <c r="E2363" s="15">
        <v>69.25</v>
      </c>
      <c r="F2363" s="16" t="s">
        <v>4092</v>
      </c>
      <c r="G2363" s="38" t="str">
        <f>HYPERLINK("http://enext.ua/s063008")</f>
        <v>http://enext.ua/s063008</v>
      </c>
    </row>
    <row r="2364" spans="2:7" ht="22.5" outlineLevel="5" x14ac:dyDescent="0.2">
      <c r="B2364" s="14" t="s">
        <v>4500</v>
      </c>
      <c r="C2364" s="14" t="s">
        <v>4501</v>
      </c>
      <c r="D2364" s="14">
        <v>1</v>
      </c>
      <c r="E2364" s="15">
        <v>99.75</v>
      </c>
      <c r="F2364" s="16" t="s">
        <v>4092</v>
      </c>
      <c r="G2364" s="38" t="str">
        <f>HYPERLINK("http://enext.ua/s063009")</f>
        <v>http://enext.ua/s063009</v>
      </c>
    </row>
    <row r="2365" spans="2:7" ht="22.5" outlineLevel="5" x14ac:dyDescent="0.2">
      <c r="B2365" s="14" t="s">
        <v>4502</v>
      </c>
      <c r="C2365" s="14" t="s">
        <v>4503</v>
      </c>
      <c r="D2365" s="14">
        <v>1</v>
      </c>
      <c r="E2365" s="15">
        <v>49.45</v>
      </c>
      <c r="F2365" s="16" t="s">
        <v>4092</v>
      </c>
      <c r="G2365" s="38" t="str">
        <f>HYPERLINK("http://enext.ua/s063010")</f>
        <v>http://enext.ua/s063010</v>
      </c>
    </row>
    <row r="2366" spans="2:7" ht="12" outlineLevel="4" x14ac:dyDescent="0.2">
      <c r="B2366" s="12"/>
      <c r="C2366" s="37" t="s">
        <v>4504</v>
      </c>
      <c r="D2366" s="12"/>
      <c r="E2366" s="13"/>
      <c r="F2366" s="13"/>
      <c r="G2366" s="12"/>
    </row>
    <row r="2367" spans="2:7" ht="11.25" outlineLevel="5" x14ac:dyDescent="0.2">
      <c r="B2367" s="14" t="s">
        <v>4505</v>
      </c>
      <c r="C2367" s="14" t="s">
        <v>4506</v>
      </c>
      <c r="D2367" s="14">
        <v>1</v>
      </c>
      <c r="E2367" s="15">
        <v>405.73</v>
      </c>
      <c r="F2367" s="16" t="s">
        <v>4507</v>
      </c>
      <c r="G2367" s="38" t="str">
        <f>HYPERLINK("http://enext.ua/s059027")</f>
        <v>http://enext.ua/s059027</v>
      </c>
    </row>
    <row r="2368" spans="2:7" ht="11.25" outlineLevel="5" x14ac:dyDescent="0.2">
      <c r="B2368" s="14" t="s">
        <v>4508</v>
      </c>
      <c r="C2368" s="14" t="s">
        <v>4509</v>
      </c>
      <c r="D2368" s="14">
        <v>1</v>
      </c>
      <c r="E2368" s="15">
        <v>405.73</v>
      </c>
      <c r="F2368" s="16" t="s">
        <v>4507</v>
      </c>
      <c r="G2368" s="38" t="str">
        <f>HYPERLINK("http://enext.ua/s059028")</f>
        <v>http://enext.ua/s059028</v>
      </c>
    </row>
    <row r="2369" spans="2:7" ht="11.25" outlineLevel="5" x14ac:dyDescent="0.2">
      <c r="B2369" s="14" t="s">
        <v>4510</v>
      </c>
      <c r="C2369" s="14" t="s">
        <v>4511</v>
      </c>
      <c r="D2369" s="14">
        <v>1</v>
      </c>
      <c r="E2369" s="15">
        <v>405.73</v>
      </c>
      <c r="F2369" s="16" t="s">
        <v>4507</v>
      </c>
      <c r="G2369" s="38" t="str">
        <f>HYPERLINK("http://enext.ua/s059029")</f>
        <v>http://enext.ua/s059029</v>
      </c>
    </row>
    <row r="2370" spans="2:7" ht="11.25" outlineLevel="5" x14ac:dyDescent="0.2">
      <c r="B2370" s="14" t="s">
        <v>4512</v>
      </c>
      <c r="C2370" s="14" t="s">
        <v>4513</v>
      </c>
      <c r="D2370" s="14">
        <v>1</v>
      </c>
      <c r="E2370" s="15">
        <v>405.73</v>
      </c>
      <c r="F2370" s="16" t="s">
        <v>4507</v>
      </c>
      <c r="G2370" s="38" t="str">
        <f>HYPERLINK("http://enext.ua/s059030")</f>
        <v>http://enext.ua/s059030</v>
      </c>
    </row>
    <row r="2371" spans="2:7" ht="11.25" outlineLevel="5" x14ac:dyDescent="0.2">
      <c r="B2371" s="14" t="s">
        <v>4514</v>
      </c>
      <c r="C2371" s="14" t="s">
        <v>4515</v>
      </c>
      <c r="D2371" s="14">
        <v>1</v>
      </c>
      <c r="E2371" s="15">
        <v>405.73</v>
      </c>
      <c r="F2371" s="16" t="s">
        <v>4507</v>
      </c>
      <c r="G2371" s="38" t="str">
        <f>HYPERLINK("http://enext.ua/s059031")</f>
        <v>http://enext.ua/s059031</v>
      </c>
    </row>
    <row r="2372" spans="2:7" ht="11.25" outlineLevel="5" x14ac:dyDescent="0.2">
      <c r="B2372" s="14" t="s">
        <v>4516</v>
      </c>
      <c r="C2372" s="14" t="s">
        <v>4517</v>
      </c>
      <c r="D2372" s="14">
        <v>1</v>
      </c>
      <c r="E2372" s="15">
        <v>405.73</v>
      </c>
      <c r="F2372" s="16" t="s">
        <v>4507</v>
      </c>
      <c r="G2372" s="38" t="str">
        <f>HYPERLINK("http://enext.ua/s059032")</f>
        <v>http://enext.ua/s059032</v>
      </c>
    </row>
    <row r="2373" spans="2:7" ht="11.25" outlineLevel="5" x14ac:dyDescent="0.2">
      <c r="B2373" s="14" t="s">
        <v>4518</v>
      </c>
      <c r="C2373" s="14" t="s">
        <v>4519</v>
      </c>
      <c r="D2373" s="14">
        <v>1</v>
      </c>
      <c r="E2373" s="15">
        <v>302.52</v>
      </c>
      <c r="F2373" s="16" t="s">
        <v>4507</v>
      </c>
      <c r="G2373" s="38" t="str">
        <f>HYPERLINK("http://enext.ua/s0590033")</f>
        <v>http://enext.ua/s0590033</v>
      </c>
    </row>
    <row r="2374" spans="2:7" ht="11.25" outlineLevel="5" x14ac:dyDescent="0.2">
      <c r="B2374" s="14" t="s">
        <v>4520</v>
      </c>
      <c r="C2374" s="14" t="s">
        <v>4521</v>
      </c>
      <c r="D2374" s="14">
        <v>1</v>
      </c>
      <c r="E2374" s="15">
        <v>302.52</v>
      </c>
      <c r="F2374" s="16" t="s">
        <v>4507</v>
      </c>
      <c r="G2374" s="38" t="str">
        <f>HYPERLINK("http://enext.ua/s059001")</f>
        <v>http://enext.ua/s059001</v>
      </c>
    </row>
    <row r="2375" spans="2:7" ht="11.25" outlineLevel="5" x14ac:dyDescent="0.2">
      <c r="B2375" s="14" t="s">
        <v>4522</v>
      </c>
      <c r="C2375" s="14" t="s">
        <v>4523</v>
      </c>
      <c r="D2375" s="14">
        <v>1</v>
      </c>
      <c r="E2375" s="15">
        <v>302.52</v>
      </c>
      <c r="F2375" s="16" t="s">
        <v>4507</v>
      </c>
      <c r="G2375" s="38" t="str">
        <f>HYPERLINK("http://enext.ua/s059002")</f>
        <v>http://enext.ua/s059002</v>
      </c>
    </row>
    <row r="2376" spans="2:7" ht="11.25" outlineLevel="5" x14ac:dyDescent="0.2">
      <c r="B2376" s="14" t="s">
        <v>4524</v>
      </c>
      <c r="C2376" s="14" t="s">
        <v>4525</v>
      </c>
      <c r="D2376" s="14">
        <v>1</v>
      </c>
      <c r="E2376" s="15">
        <v>302.52</v>
      </c>
      <c r="F2376" s="16" t="s">
        <v>4507</v>
      </c>
      <c r="G2376" s="38" t="str">
        <f>HYPERLINK("http://enext.ua/s059003")</f>
        <v>http://enext.ua/s059003</v>
      </c>
    </row>
    <row r="2377" spans="2:7" ht="11.25" outlineLevel="5" x14ac:dyDescent="0.2">
      <c r="B2377" s="14" t="s">
        <v>4526</v>
      </c>
      <c r="C2377" s="14" t="s">
        <v>4527</v>
      </c>
      <c r="D2377" s="14">
        <v>1</v>
      </c>
      <c r="E2377" s="15">
        <v>302.52</v>
      </c>
      <c r="F2377" s="16" t="s">
        <v>4507</v>
      </c>
      <c r="G2377" s="38" t="str">
        <f>HYPERLINK("http://enext.ua/s059004")</f>
        <v>http://enext.ua/s059004</v>
      </c>
    </row>
    <row r="2378" spans="2:7" ht="11.25" outlineLevel="5" x14ac:dyDescent="0.2">
      <c r="B2378" s="14" t="s">
        <v>4528</v>
      </c>
      <c r="C2378" s="14" t="s">
        <v>4529</v>
      </c>
      <c r="D2378" s="14">
        <v>1</v>
      </c>
      <c r="E2378" s="15">
        <v>396.1</v>
      </c>
      <c r="F2378" s="16" t="s">
        <v>4507</v>
      </c>
      <c r="G2378" s="38" t="str">
        <f>HYPERLINK("http://enext.ua/s059005")</f>
        <v>http://enext.ua/s059005</v>
      </c>
    </row>
    <row r="2379" spans="2:7" ht="11.25" outlineLevel="5" x14ac:dyDescent="0.2">
      <c r="B2379" s="14" t="s">
        <v>4530</v>
      </c>
      <c r="C2379" s="14" t="s">
        <v>4531</v>
      </c>
      <c r="D2379" s="14">
        <v>1</v>
      </c>
      <c r="E2379" s="15">
        <v>396.1</v>
      </c>
      <c r="F2379" s="16" t="s">
        <v>4507</v>
      </c>
      <c r="G2379" s="38" t="str">
        <f>HYPERLINK("http://enext.ua/s059006")</f>
        <v>http://enext.ua/s059006</v>
      </c>
    </row>
    <row r="2380" spans="2:7" ht="11.25" outlineLevel="5" x14ac:dyDescent="0.2">
      <c r="B2380" s="14" t="s">
        <v>4532</v>
      </c>
      <c r="C2380" s="14" t="s">
        <v>4533</v>
      </c>
      <c r="D2380" s="14">
        <v>1</v>
      </c>
      <c r="E2380" s="15">
        <v>396.1</v>
      </c>
      <c r="F2380" s="16" t="s">
        <v>4507</v>
      </c>
      <c r="G2380" s="38" t="str">
        <f>HYPERLINK("http://enext.ua/s059007")</f>
        <v>http://enext.ua/s059007</v>
      </c>
    </row>
    <row r="2381" spans="2:7" ht="11.25" outlineLevel="5" x14ac:dyDescent="0.2">
      <c r="B2381" s="14" t="s">
        <v>4534</v>
      </c>
      <c r="C2381" s="14" t="s">
        <v>4535</v>
      </c>
      <c r="D2381" s="14">
        <v>1</v>
      </c>
      <c r="E2381" s="15">
        <v>396.1</v>
      </c>
      <c r="F2381" s="16" t="s">
        <v>4507</v>
      </c>
      <c r="G2381" s="38" t="str">
        <f>HYPERLINK("http://enext.ua/s059008")</f>
        <v>http://enext.ua/s059008</v>
      </c>
    </row>
    <row r="2382" spans="2:7" ht="11.25" outlineLevel="5" x14ac:dyDescent="0.2">
      <c r="B2382" s="14" t="s">
        <v>4536</v>
      </c>
      <c r="C2382" s="14" t="s">
        <v>4537</v>
      </c>
      <c r="D2382" s="14">
        <v>1</v>
      </c>
      <c r="E2382" s="15">
        <v>396.1</v>
      </c>
      <c r="F2382" s="16" t="s">
        <v>4507</v>
      </c>
      <c r="G2382" s="38" t="str">
        <f>HYPERLINK("http://enext.ua/s059009")</f>
        <v>http://enext.ua/s059009</v>
      </c>
    </row>
    <row r="2383" spans="2:7" ht="11.25" outlineLevel="5" x14ac:dyDescent="0.2">
      <c r="B2383" s="14" t="s">
        <v>4538</v>
      </c>
      <c r="C2383" s="14" t="s">
        <v>4539</v>
      </c>
      <c r="D2383" s="14">
        <v>1</v>
      </c>
      <c r="E2383" s="15">
        <v>467.38</v>
      </c>
      <c r="F2383" s="16" t="s">
        <v>4507</v>
      </c>
      <c r="G2383" s="38" t="str">
        <f>HYPERLINK("http://enext.ua/s059010")</f>
        <v>http://enext.ua/s059010</v>
      </c>
    </row>
    <row r="2384" spans="2:7" ht="11.25" outlineLevel="5" x14ac:dyDescent="0.2">
      <c r="B2384" s="14" t="s">
        <v>4540</v>
      </c>
      <c r="C2384" s="14" t="s">
        <v>4541</v>
      </c>
      <c r="D2384" s="14">
        <v>1</v>
      </c>
      <c r="E2384" s="15">
        <v>467.38</v>
      </c>
      <c r="F2384" s="16" t="s">
        <v>4507</v>
      </c>
      <c r="G2384" s="38" t="str">
        <f>HYPERLINK("http://enext.ua/s059011")</f>
        <v>http://enext.ua/s059011</v>
      </c>
    </row>
    <row r="2385" spans="2:7" ht="11.25" outlineLevel="5" x14ac:dyDescent="0.2">
      <c r="B2385" s="14" t="s">
        <v>4542</v>
      </c>
      <c r="C2385" s="14" t="s">
        <v>4543</v>
      </c>
      <c r="D2385" s="14">
        <v>1</v>
      </c>
      <c r="E2385" s="15">
        <v>467.38</v>
      </c>
      <c r="F2385" s="16" t="s">
        <v>4507</v>
      </c>
      <c r="G2385" s="38" t="str">
        <f>HYPERLINK("http://enext.ua/s059012")</f>
        <v>http://enext.ua/s059012</v>
      </c>
    </row>
    <row r="2386" spans="2:7" ht="11.25" outlineLevel="5" x14ac:dyDescent="0.2">
      <c r="B2386" s="14" t="s">
        <v>4544</v>
      </c>
      <c r="C2386" s="14" t="s">
        <v>4545</v>
      </c>
      <c r="D2386" s="14">
        <v>1</v>
      </c>
      <c r="E2386" s="15">
        <v>467.38</v>
      </c>
      <c r="F2386" s="16" t="s">
        <v>4507</v>
      </c>
      <c r="G2386" s="38" t="str">
        <f>HYPERLINK("http://enext.ua/s059013")</f>
        <v>http://enext.ua/s059013</v>
      </c>
    </row>
    <row r="2387" spans="2:7" ht="11.25" outlineLevel="5" x14ac:dyDescent="0.2">
      <c r="B2387" s="14" t="s">
        <v>4546</v>
      </c>
      <c r="C2387" s="14" t="s">
        <v>4547</v>
      </c>
      <c r="D2387" s="14">
        <v>1</v>
      </c>
      <c r="E2387" s="15">
        <v>467.38</v>
      </c>
      <c r="F2387" s="16" t="s">
        <v>4507</v>
      </c>
      <c r="G2387" s="38" t="str">
        <f>HYPERLINK("http://enext.ua/s059014")</f>
        <v>http://enext.ua/s059014</v>
      </c>
    </row>
    <row r="2388" spans="2:7" ht="11.25" outlineLevel="5" x14ac:dyDescent="0.2">
      <c r="B2388" s="14" t="s">
        <v>4548</v>
      </c>
      <c r="C2388" s="14" t="s">
        <v>4549</v>
      </c>
      <c r="D2388" s="14">
        <v>1</v>
      </c>
      <c r="E2388" s="15">
        <v>474.76</v>
      </c>
      <c r="F2388" s="16" t="s">
        <v>4507</v>
      </c>
      <c r="G2388" s="38" t="str">
        <f>HYPERLINK("http://enext.ua/s059015")</f>
        <v>http://enext.ua/s059015</v>
      </c>
    </row>
    <row r="2389" spans="2:7" ht="11.25" outlineLevel="5" x14ac:dyDescent="0.2">
      <c r="B2389" s="14" t="s">
        <v>4550</v>
      </c>
      <c r="C2389" s="14" t="s">
        <v>4551</v>
      </c>
      <c r="D2389" s="14">
        <v>1</v>
      </c>
      <c r="E2389" s="15">
        <v>474.76</v>
      </c>
      <c r="F2389" s="16" t="s">
        <v>4507</v>
      </c>
      <c r="G2389" s="38" t="str">
        <f>HYPERLINK("http://enext.ua/s059016")</f>
        <v>http://enext.ua/s059016</v>
      </c>
    </row>
    <row r="2390" spans="2:7" ht="11.25" outlineLevel="5" x14ac:dyDescent="0.2">
      <c r="B2390" s="14" t="s">
        <v>4552</v>
      </c>
      <c r="C2390" s="14" t="s">
        <v>4553</v>
      </c>
      <c r="D2390" s="14">
        <v>1</v>
      </c>
      <c r="E2390" s="15">
        <v>474.76</v>
      </c>
      <c r="F2390" s="16" t="s">
        <v>4507</v>
      </c>
      <c r="G2390" s="38" t="str">
        <f>HYPERLINK("http://enext.ua/s059017")</f>
        <v>http://enext.ua/s059017</v>
      </c>
    </row>
    <row r="2391" spans="2:7" ht="11.25" outlineLevel="5" x14ac:dyDescent="0.2">
      <c r="B2391" s="14" t="s">
        <v>4554</v>
      </c>
      <c r="C2391" s="14" t="s">
        <v>4555</v>
      </c>
      <c r="D2391" s="14">
        <v>1</v>
      </c>
      <c r="E2391" s="15">
        <v>474.76</v>
      </c>
      <c r="F2391" s="16" t="s">
        <v>4507</v>
      </c>
      <c r="G2391" s="38" t="str">
        <f>HYPERLINK("http://enext.ua/s059018")</f>
        <v>http://enext.ua/s059018</v>
      </c>
    </row>
    <row r="2392" spans="2:7" ht="11.25" outlineLevel="5" x14ac:dyDescent="0.2">
      <c r="B2392" s="14" t="s">
        <v>4556</v>
      </c>
      <c r="C2392" s="14" t="s">
        <v>4557</v>
      </c>
      <c r="D2392" s="14">
        <v>1</v>
      </c>
      <c r="E2392" s="15">
        <v>474.76</v>
      </c>
      <c r="F2392" s="16" t="s">
        <v>4507</v>
      </c>
      <c r="G2392" s="38" t="str">
        <f>HYPERLINK("http://enext.ua/s059019")</f>
        <v>http://enext.ua/s059019</v>
      </c>
    </row>
    <row r="2393" spans="2:7" ht="11.25" outlineLevel="5" x14ac:dyDescent="0.2">
      <c r="B2393" s="14" t="s">
        <v>4558</v>
      </c>
      <c r="C2393" s="14" t="s">
        <v>4559</v>
      </c>
      <c r="D2393" s="14">
        <v>1</v>
      </c>
      <c r="E2393" s="15">
        <v>474.76</v>
      </c>
      <c r="F2393" s="16" t="s">
        <v>4507</v>
      </c>
      <c r="G2393" s="38" t="str">
        <f>HYPERLINK("http://enext.ua/s059020")</f>
        <v>http://enext.ua/s059020</v>
      </c>
    </row>
    <row r="2394" spans="2:7" ht="11.25" outlineLevel="5" x14ac:dyDescent="0.2">
      <c r="B2394" s="14" t="s">
        <v>4560</v>
      </c>
      <c r="C2394" s="14" t="s">
        <v>4561</v>
      </c>
      <c r="D2394" s="14">
        <v>1</v>
      </c>
      <c r="E2394" s="15">
        <v>568.48</v>
      </c>
      <c r="F2394" s="16" t="s">
        <v>4507</v>
      </c>
      <c r="G2394" s="38" t="str">
        <f>HYPERLINK("http://enext.ua/s059021")</f>
        <v>http://enext.ua/s059021</v>
      </c>
    </row>
    <row r="2395" spans="2:7" ht="11.25" outlineLevel="5" x14ac:dyDescent="0.2">
      <c r="B2395" s="14" t="s">
        <v>4562</v>
      </c>
      <c r="C2395" s="14" t="s">
        <v>4563</v>
      </c>
      <c r="D2395" s="14">
        <v>1</v>
      </c>
      <c r="E2395" s="15">
        <v>568.48</v>
      </c>
      <c r="F2395" s="16" t="s">
        <v>4507</v>
      </c>
      <c r="G2395" s="38" t="str">
        <f>HYPERLINK("http://enext.ua/s059022")</f>
        <v>http://enext.ua/s059022</v>
      </c>
    </row>
    <row r="2396" spans="2:7" ht="11.25" outlineLevel="5" x14ac:dyDescent="0.2">
      <c r="B2396" s="14" t="s">
        <v>4564</v>
      </c>
      <c r="C2396" s="14" t="s">
        <v>4565</v>
      </c>
      <c r="D2396" s="14">
        <v>1</v>
      </c>
      <c r="E2396" s="15">
        <v>568.48</v>
      </c>
      <c r="F2396" s="16" t="s">
        <v>4507</v>
      </c>
      <c r="G2396" s="38" t="str">
        <f>HYPERLINK("http://enext.ua/s059023")</f>
        <v>http://enext.ua/s059023</v>
      </c>
    </row>
    <row r="2397" spans="2:7" ht="11.25" outlineLevel="5" x14ac:dyDescent="0.2">
      <c r="B2397" s="14" t="s">
        <v>4566</v>
      </c>
      <c r="C2397" s="14" t="s">
        <v>4567</v>
      </c>
      <c r="D2397" s="14">
        <v>1</v>
      </c>
      <c r="E2397" s="15">
        <v>568.48</v>
      </c>
      <c r="F2397" s="16" t="s">
        <v>4507</v>
      </c>
      <c r="G2397" s="38" t="str">
        <f>HYPERLINK("http://enext.ua/s059024")</f>
        <v>http://enext.ua/s059024</v>
      </c>
    </row>
    <row r="2398" spans="2:7" ht="11.25" outlineLevel="5" x14ac:dyDescent="0.2">
      <c r="B2398" s="14" t="s">
        <v>4568</v>
      </c>
      <c r="C2398" s="14" t="s">
        <v>4569</v>
      </c>
      <c r="D2398" s="14">
        <v>1</v>
      </c>
      <c r="E2398" s="15">
        <v>568.48</v>
      </c>
      <c r="F2398" s="16" t="s">
        <v>4507</v>
      </c>
      <c r="G2398" s="38" t="str">
        <f>HYPERLINK("http://enext.ua/s059025")</f>
        <v>http://enext.ua/s059025</v>
      </c>
    </row>
    <row r="2399" spans="2:7" ht="11.25" outlineLevel="5" x14ac:dyDescent="0.2">
      <c r="B2399" s="14" t="s">
        <v>4570</v>
      </c>
      <c r="C2399" s="14" t="s">
        <v>4571</v>
      </c>
      <c r="D2399" s="14">
        <v>1</v>
      </c>
      <c r="E2399" s="15">
        <v>568.48</v>
      </c>
      <c r="F2399" s="16" t="s">
        <v>4507</v>
      </c>
      <c r="G2399" s="38" t="str">
        <f>HYPERLINK("http://enext.ua/s059026")</f>
        <v>http://enext.ua/s059026</v>
      </c>
    </row>
    <row r="2400" spans="2:7" ht="12" outlineLevel="3" x14ac:dyDescent="0.2">
      <c r="B2400" s="10"/>
      <c r="C2400" s="36" t="s">
        <v>4572</v>
      </c>
      <c r="D2400" s="10"/>
      <c r="E2400" s="11"/>
      <c r="F2400" s="11"/>
      <c r="G2400" s="10"/>
    </row>
    <row r="2401" spans="2:7" ht="11.25" outlineLevel="4" x14ac:dyDescent="0.2">
      <c r="B2401" s="14" t="s">
        <v>4573</v>
      </c>
      <c r="C2401" s="14" t="s">
        <v>4574</v>
      </c>
      <c r="D2401" s="14">
        <v>10</v>
      </c>
      <c r="E2401" s="15">
        <v>34.75</v>
      </c>
      <c r="F2401" s="16" t="s">
        <v>8</v>
      </c>
      <c r="G2401" s="38" t="str">
        <f>HYPERLINK("http://enext.ua/s023001")</f>
        <v>http://enext.ua/s023001</v>
      </c>
    </row>
    <row r="2402" spans="2:7" ht="11.25" outlineLevel="4" x14ac:dyDescent="0.2">
      <c r="B2402" s="14" t="s">
        <v>4575</v>
      </c>
      <c r="C2402" s="14" t="s">
        <v>4576</v>
      </c>
      <c r="D2402" s="14">
        <v>10</v>
      </c>
      <c r="E2402" s="15">
        <v>12.94</v>
      </c>
      <c r="F2402" s="16" t="s">
        <v>8</v>
      </c>
      <c r="G2402" s="38" t="str">
        <f>HYPERLINK("http://enext.ua/s023006")</f>
        <v>http://enext.ua/s023006</v>
      </c>
    </row>
    <row r="2403" spans="2:7" ht="11.25" outlineLevel="4" x14ac:dyDescent="0.2">
      <c r="B2403" s="14" t="s">
        <v>4577</v>
      </c>
      <c r="C2403" s="14" t="s">
        <v>4578</v>
      </c>
      <c r="D2403" s="14">
        <v>1</v>
      </c>
      <c r="E2403" s="15">
        <v>38.020000000000003</v>
      </c>
      <c r="F2403" s="16" t="s">
        <v>8</v>
      </c>
      <c r="G2403" s="38" t="str">
        <f>HYPERLINK("http://enext.ua/s023002")</f>
        <v>http://enext.ua/s023002</v>
      </c>
    </row>
    <row r="2404" spans="2:7" ht="22.5" outlineLevel="4" x14ac:dyDescent="0.2">
      <c r="B2404" s="14" t="s">
        <v>4579</v>
      </c>
      <c r="C2404" s="14" t="s">
        <v>4580</v>
      </c>
      <c r="D2404" s="14">
        <v>1</v>
      </c>
      <c r="E2404" s="15">
        <v>49.37</v>
      </c>
      <c r="F2404" s="16" t="s">
        <v>8</v>
      </c>
      <c r="G2404" s="38" t="str">
        <f>HYPERLINK("http://enext.ua/s023004")</f>
        <v>http://enext.ua/s023004</v>
      </c>
    </row>
    <row r="2405" spans="2:7" ht="22.5" outlineLevel="4" x14ac:dyDescent="0.2">
      <c r="B2405" s="14" t="s">
        <v>4581</v>
      </c>
      <c r="C2405" s="14" t="s">
        <v>4582</v>
      </c>
      <c r="D2405" s="14">
        <v>1</v>
      </c>
      <c r="E2405" s="15">
        <v>49.37</v>
      </c>
      <c r="F2405" s="16" t="s">
        <v>8</v>
      </c>
      <c r="G2405" s="38" t="str">
        <f>HYPERLINK("http://enext.ua/s023005")</f>
        <v>http://enext.ua/s023005</v>
      </c>
    </row>
    <row r="2406" spans="2:7" ht="11.25" outlineLevel="4" x14ac:dyDescent="0.2">
      <c r="B2406" s="14" t="s">
        <v>4583</v>
      </c>
      <c r="C2406" s="14" t="s">
        <v>4584</v>
      </c>
      <c r="D2406" s="14">
        <v>1</v>
      </c>
      <c r="E2406" s="17">
        <v>4504.7</v>
      </c>
      <c r="F2406" s="16" t="s">
        <v>8</v>
      </c>
      <c r="G2406" s="38" t="str">
        <f>HYPERLINK("http://enext.ua/s023301")</f>
        <v>http://enext.ua/s023301</v>
      </c>
    </row>
    <row r="2407" spans="2:7" ht="12" outlineLevel="3" x14ac:dyDescent="0.2">
      <c r="B2407" s="10"/>
      <c r="C2407" s="36" t="s">
        <v>4585</v>
      </c>
      <c r="D2407" s="10"/>
      <c r="E2407" s="11"/>
      <c r="F2407" s="11"/>
      <c r="G2407" s="10"/>
    </row>
    <row r="2408" spans="2:7" ht="12" outlineLevel="4" x14ac:dyDescent="0.2">
      <c r="B2408" s="12"/>
      <c r="C2408" s="37" t="s">
        <v>4586</v>
      </c>
      <c r="D2408" s="12"/>
      <c r="E2408" s="13"/>
      <c r="F2408" s="13"/>
      <c r="G2408" s="12"/>
    </row>
    <row r="2409" spans="2:7" ht="11.25" outlineLevel="5" x14ac:dyDescent="0.2">
      <c r="B2409" s="14" t="s">
        <v>4587</v>
      </c>
      <c r="C2409" s="14" t="s">
        <v>4588</v>
      </c>
      <c r="D2409" s="14">
        <v>10</v>
      </c>
      <c r="E2409" s="15">
        <v>4.2699999999999996</v>
      </c>
      <c r="F2409" s="16" t="s">
        <v>8</v>
      </c>
      <c r="G2409" s="38" t="str">
        <f>HYPERLINK("http://enext.ua/s018001")</f>
        <v>http://enext.ua/s018001</v>
      </c>
    </row>
    <row r="2410" spans="2:7" ht="11.25" outlineLevel="5" x14ac:dyDescent="0.2">
      <c r="B2410" s="14" t="s">
        <v>4589</v>
      </c>
      <c r="C2410" s="14" t="s">
        <v>4590</v>
      </c>
      <c r="D2410" s="14">
        <v>100</v>
      </c>
      <c r="E2410" s="15">
        <v>5.0199999999999996</v>
      </c>
      <c r="F2410" s="16" t="s">
        <v>8</v>
      </c>
      <c r="G2410" s="38" t="str">
        <f>HYPERLINK("http://enext.ua/s018002")</f>
        <v>http://enext.ua/s018002</v>
      </c>
    </row>
    <row r="2411" spans="2:7" ht="11.25" outlineLevel="5" x14ac:dyDescent="0.2">
      <c r="B2411" s="14" t="s">
        <v>4591</v>
      </c>
      <c r="C2411" s="14" t="s">
        <v>4592</v>
      </c>
      <c r="D2411" s="14">
        <v>100</v>
      </c>
      <c r="E2411" s="15">
        <v>6.7</v>
      </c>
      <c r="F2411" s="16" t="s">
        <v>8</v>
      </c>
      <c r="G2411" s="38" t="str">
        <f>HYPERLINK("http://enext.ua/s018003")</f>
        <v>http://enext.ua/s018003</v>
      </c>
    </row>
    <row r="2412" spans="2:7" ht="11.25" outlineLevel="5" x14ac:dyDescent="0.2">
      <c r="B2412" s="14" t="s">
        <v>4593</v>
      </c>
      <c r="C2412" s="14" t="s">
        <v>4594</v>
      </c>
      <c r="D2412" s="14">
        <v>10</v>
      </c>
      <c r="E2412" s="15">
        <v>7.53</v>
      </c>
      <c r="F2412" s="16" t="s">
        <v>8</v>
      </c>
      <c r="G2412" s="38" t="str">
        <f>HYPERLINK("http://enext.ua/s018004")</f>
        <v>http://enext.ua/s018004</v>
      </c>
    </row>
    <row r="2413" spans="2:7" ht="11.25" outlineLevel="5" x14ac:dyDescent="0.2">
      <c r="B2413" s="14" t="s">
        <v>4595</v>
      </c>
      <c r="C2413" s="14" t="s">
        <v>4596</v>
      </c>
      <c r="D2413" s="14">
        <v>100</v>
      </c>
      <c r="E2413" s="15">
        <v>9.2100000000000009</v>
      </c>
      <c r="F2413" s="16" t="s">
        <v>8</v>
      </c>
      <c r="G2413" s="38" t="str">
        <f>HYPERLINK("http://enext.ua/s018005")</f>
        <v>http://enext.ua/s018005</v>
      </c>
    </row>
    <row r="2414" spans="2:7" ht="11.25" outlineLevel="5" x14ac:dyDescent="0.2">
      <c r="B2414" s="14" t="s">
        <v>4597</v>
      </c>
      <c r="C2414" s="14" t="s">
        <v>4598</v>
      </c>
      <c r="D2414" s="14">
        <v>10</v>
      </c>
      <c r="E2414" s="15">
        <v>14.23</v>
      </c>
      <c r="F2414" s="16" t="s">
        <v>8</v>
      </c>
      <c r="G2414" s="38" t="str">
        <f>HYPERLINK("http://enext.ua/s018006")</f>
        <v>http://enext.ua/s018006</v>
      </c>
    </row>
    <row r="2415" spans="2:7" ht="11.25" outlineLevel="5" x14ac:dyDescent="0.2">
      <c r="B2415" s="14" t="s">
        <v>4599</v>
      </c>
      <c r="C2415" s="14" t="s">
        <v>4600</v>
      </c>
      <c r="D2415" s="14">
        <v>50</v>
      </c>
      <c r="E2415" s="15">
        <v>23.44</v>
      </c>
      <c r="F2415" s="16" t="s">
        <v>8</v>
      </c>
      <c r="G2415" s="38" t="str">
        <f>HYPERLINK("http://enext.ua/s018007")</f>
        <v>http://enext.ua/s018007</v>
      </c>
    </row>
    <row r="2416" spans="2:7" ht="11.25" outlineLevel="5" x14ac:dyDescent="0.2">
      <c r="B2416" s="14" t="s">
        <v>4601</v>
      </c>
      <c r="C2416" s="14" t="s">
        <v>4602</v>
      </c>
      <c r="D2416" s="14">
        <v>20</v>
      </c>
      <c r="E2416" s="15">
        <v>41.01</v>
      </c>
      <c r="F2416" s="16" t="s">
        <v>8</v>
      </c>
      <c r="G2416" s="38" t="str">
        <f>HYPERLINK("http://enext.ua/s018008")</f>
        <v>http://enext.ua/s018008</v>
      </c>
    </row>
    <row r="2417" spans="2:7" ht="11.25" outlineLevel="5" x14ac:dyDescent="0.2">
      <c r="B2417" s="14" t="s">
        <v>4603</v>
      </c>
      <c r="C2417" s="14" t="s">
        <v>4604</v>
      </c>
      <c r="D2417" s="14">
        <v>10</v>
      </c>
      <c r="E2417" s="15">
        <v>48.27</v>
      </c>
      <c r="F2417" s="16" t="s">
        <v>8</v>
      </c>
      <c r="G2417" s="38" t="str">
        <f>HYPERLINK("http://enext.ua/s018009")</f>
        <v>http://enext.ua/s018009</v>
      </c>
    </row>
    <row r="2418" spans="2:7" ht="11.25" outlineLevel="5" x14ac:dyDescent="0.2">
      <c r="B2418" s="14" t="s">
        <v>4605</v>
      </c>
      <c r="C2418" s="14" t="s">
        <v>4606</v>
      </c>
      <c r="D2418" s="14">
        <v>20</v>
      </c>
      <c r="E2418" s="15">
        <v>53.28</v>
      </c>
      <c r="F2418" s="16" t="s">
        <v>8</v>
      </c>
      <c r="G2418" s="38" t="str">
        <f>HYPERLINK("http://enext.ua/s018010")</f>
        <v>http://enext.ua/s018010</v>
      </c>
    </row>
    <row r="2419" spans="2:7" ht="12" outlineLevel="4" x14ac:dyDescent="0.2">
      <c r="B2419" s="12"/>
      <c r="C2419" s="37" t="s">
        <v>4607</v>
      </c>
      <c r="D2419" s="12"/>
      <c r="E2419" s="13"/>
      <c r="F2419" s="13"/>
      <c r="G2419" s="12"/>
    </row>
    <row r="2420" spans="2:7" ht="11.25" outlineLevel="5" x14ac:dyDescent="0.2">
      <c r="B2420" s="14" t="s">
        <v>4608</v>
      </c>
      <c r="C2420" s="14" t="s">
        <v>4609</v>
      </c>
      <c r="D2420" s="14">
        <v>100</v>
      </c>
      <c r="E2420" s="15">
        <v>2.8</v>
      </c>
      <c r="F2420" s="16" t="s">
        <v>8</v>
      </c>
      <c r="G2420" s="38" t="str">
        <f>HYPERLINK("http://enext.ua/s067001")</f>
        <v>http://enext.ua/s067001</v>
      </c>
    </row>
    <row r="2421" spans="2:7" ht="11.25" outlineLevel="5" x14ac:dyDescent="0.2">
      <c r="B2421" s="14" t="s">
        <v>4610</v>
      </c>
      <c r="C2421" s="14" t="s">
        <v>4611</v>
      </c>
      <c r="D2421" s="14">
        <v>100</v>
      </c>
      <c r="E2421" s="15">
        <v>3.28</v>
      </c>
      <c r="F2421" s="16" t="s">
        <v>8</v>
      </c>
      <c r="G2421" s="38" t="str">
        <f>HYPERLINK("http://enext.ua/s067002")</f>
        <v>http://enext.ua/s067002</v>
      </c>
    </row>
    <row r="2422" spans="2:7" ht="11.25" outlineLevel="5" x14ac:dyDescent="0.2">
      <c r="B2422" s="14" t="s">
        <v>4612</v>
      </c>
      <c r="C2422" s="14" t="s">
        <v>4613</v>
      </c>
      <c r="D2422" s="14">
        <v>100</v>
      </c>
      <c r="E2422" s="15">
        <v>9.85</v>
      </c>
      <c r="F2422" s="16" t="s">
        <v>8</v>
      </c>
      <c r="G2422" s="38" t="str">
        <f>HYPERLINK("http://enext.ua/s067003")</f>
        <v>http://enext.ua/s067003</v>
      </c>
    </row>
    <row r="2423" spans="2:7" ht="11.25" outlineLevel="5" x14ac:dyDescent="0.2">
      <c r="B2423" s="14" t="s">
        <v>4614</v>
      </c>
      <c r="C2423" s="14" t="s">
        <v>4615</v>
      </c>
      <c r="D2423" s="14">
        <v>50</v>
      </c>
      <c r="E2423" s="15">
        <v>38.5</v>
      </c>
      <c r="F2423" s="16" t="s">
        <v>8</v>
      </c>
      <c r="G2423" s="38" t="str">
        <f>HYPERLINK("http://enext.ua/s067006")</f>
        <v>http://enext.ua/s067006</v>
      </c>
    </row>
    <row r="2424" spans="2:7" ht="11.25" outlineLevel="5" x14ac:dyDescent="0.2">
      <c r="B2424" s="14" t="s">
        <v>4616</v>
      </c>
      <c r="C2424" s="14" t="s">
        <v>4617</v>
      </c>
      <c r="D2424" s="14">
        <v>20</v>
      </c>
      <c r="E2424" s="15">
        <v>48.59</v>
      </c>
      <c r="F2424" s="16" t="s">
        <v>8</v>
      </c>
      <c r="G2424" s="38" t="str">
        <f>HYPERLINK("http://enext.ua/s067007")</f>
        <v>http://enext.ua/s067007</v>
      </c>
    </row>
    <row r="2425" spans="2:7" ht="11.25" outlineLevel="5" x14ac:dyDescent="0.2">
      <c r="B2425" s="14" t="s">
        <v>4618</v>
      </c>
      <c r="C2425" s="14" t="s">
        <v>4619</v>
      </c>
      <c r="D2425" s="14">
        <v>20</v>
      </c>
      <c r="E2425" s="15">
        <v>78.25</v>
      </c>
      <c r="F2425" s="16" t="s">
        <v>8</v>
      </c>
      <c r="G2425" s="38" t="str">
        <f>HYPERLINK("http://enext.ua/s067008")</f>
        <v>http://enext.ua/s067008</v>
      </c>
    </row>
    <row r="2426" spans="2:7" ht="12" outlineLevel="4" x14ac:dyDescent="0.2">
      <c r="B2426" s="12"/>
      <c r="C2426" s="37" t="s">
        <v>4620</v>
      </c>
      <c r="D2426" s="12"/>
      <c r="E2426" s="13"/>
      <c r="F2426" s="13"/>
      <c r="G2426" s="12"/>
    </row>
    <row r="2427" spans="2:7" ht="11.25" outlineLevel="5" x14ac:dyDescent="0.2">
      <c r="B2427" s="14" t="s">
        <v>4621</v>
      </c>
      <c r="C2427" s="14" t="s">
        <v>4622</v>
      </c>
      <c r="D2427" s="14">
        <v>1</v>
      </c>
      <c r="E2427" s="15">
        <v>6.66</v>
      </c>
      <c r="F2427" s="16" t="s">
        <v>8</v>
      </c>
      <c r="G2427" s="38" t="str">
        <f>HYPERLINK("http://enext.ua/s067011")</f>
        <v>http://enext.ua/s067011</v>
      </c>
    </row>
    <row r="2428" spans="2:7" ht="11.25" outlineLevel="5" x14ac:dyDescent="0.2">
      <c r="B2428" s="14" t="s">
        <v>4623</v>
      </c>
      <c r="C2428" s="14" t="s">
        <v>4624</v>
      </c>
      <c r="D2428" s="14">
        <v>1</v>
      </c>
      <c r="E2428" s="15">
        <v>8.39</v>
      </c>
      <c r="F2428" s="16" t="s">
        <v>8</v>
      </c>
      <c r="G2428" s="38" t="str">
        <f>HYPERLINK("http://enext.ua/s067012")</f>
        <v>http://enext.ua/s067012</v>
      </c>
    </row>
    <row r="2429" spans="2:7" ht="11.25" outlineLevel="5" x14ac:dyDescent="0.2">
      <c r="B2429" s="14" t="s">
        <v>4625</v>
      </c>
      <c r="C2429" s="14" t="s">
        <v>4626</v>
      </c>
      <c r="D2429" s="14">
        <v>1</v>
      </c>
      <c r="E2429" s="15">
        <v>12.96</v>
      </c>
      <c r="F2429" s="16" t="s">
        <v>8</v>
      </c>
      <c r="G2429" s="38" t="str">
        <f>HYPERLINK("http://enext.ua/s067013")</f>
        <v>http://enext.ua/s067013</v>
      </c>
    </row>
    <row r="2430" spans="2:7" ht="11.25" outlineLevel="5" x14ac:dyDescent="0.2">
      <c r="B2430" s="14" t="s">
        <v>4627</v>
      </c>
      <c r="C2430" s="14" t="s">
        <v>4628</v>
      </c>
      <c r="D2430" s="14">
        <v>1</v>
      </c>
      <c r="E2430" s="15">
        <v>17.149999999999999</v>
      </c>
      <c r="F2430" s="16" t="s">
        <v>8</v>
      </c>
      <c r="G2430" s="38" t="str">
        <f>HYPERLINK("http://enext.ua/s067014")</f>
        <v>http://enext.ua/s067014</v>
      </c>
    </row>
    <row r="2431" spans="2:7" ht="11.25" outlineLevel="5" x14ac:dyDescent="0.2">
      <c r="B2431" s="14" t="s">
        <v>4629</v>
      </c>
      <c r="C2431" s="14" t="s">
        <v>4630</v>
      </c>
      <c r="D2431" s="14">
        <v>1</v>
      </c>
      <c r="E2431" s="15">
        <v>30.1</v>
      </c>
      <c r="F2431" s="16" t="s">
        <v>8</v>
      </c>
      <c r="G2431" s="38" t="str">
        <f>HYPERLINK("http://enext.ua/s067015")</f>
        <v>http://enext.ua/s067015</v>
      </c>
    </row>
    <row r="2432" spans="2:7" ht="11.25" outlineLevel="5" x14ac:dyDescent="0.2">
      <c r="B2432" s="14" t="s">
        <v>4631</v>
      </c>
      <c r="C2432" s="14" t="s">
        <v>4632</v>
      </c>
      <c r="D2432" s="14">
        <v>1</v>
      </c>
      <c r="E2432" s="15">
        <v>43.1</v>
      </c>
      <c r="F2432" s="16" t="s">
        <v>8</v>
      </c>
      <c r="G2432" s="38" t="str">
        <f>HYPERLINK("http://enext.ua/s067016")</f>
        <v>http://enext.ua/s067016</v>
      </c>
    </row>
    <row r="2433" spans="2:7" ht="11.25" outlineLevel="5" x14ac:dyDescent="0.2">
      <c r="B2433" s="14" t="s">
        <v>4633</v>
      </c>
      <c r="C2433" s="14" t="s">
        <v>4634</v>
      </c>
      <c r="D2433" s="14">
        <v>1</v>
      </c>
      <c r="E2433" s="15">
        <v>49.35</v>
      </c>
      <c r="F2433" s="16" t="s">
        <v>8</v>
      </c>
      <c r="G2433" s="38" t="str">
        <f>HYPERLINK("http://enext.ua/s067017")</f>
        <v>http://enext.ua/s067017</v>
      </c>
    </row>
    <row r="2434" spans="2:7" ht="11.25" outlineLevel="5" x14ac:dyDescent="0.2">
      <c r="B2434" s="14" t="s">
        <v>4635</v>
      </c>
      <c r="C2434" s="14" t="s">
        <v>4636</v>
      </c>
      <c r="D2434" s="14">
        <v>1</v>
      </c>
      <c r="E2434" s="15">
        <v>94.14</v>
      </c>
      <c r="F2434" s="16" t="s">
        <v>8</v>
      </c>
      <c r="G2434" s="38" t="str">
        <f>HYPERLINK("http://enext.ua/s067018")</f>
        <v>http://enext.ua/s067018</v>
      </c>
    </row>
    <row r="2435" spans="2:7" ht="12" outlineLevel="4" x14ac:dyDescent="0.2">
      <c r="B2435" s="12"/>
      <c r="C2435" s="37" t="s">
        <v>4637</v>
      </c>
      <c r="D2435" s="12"/>
      <c r="E2435" s="13"/>
      <c r="F2435" s="13"/>
      <c r="G2435" s="12"/>
    </row>
    <row r="2436" spans="2:7" ht="11.25" outlineLevel="5" x14ac:dyDescent="0.2">
      <c r="B2436" s="14" t="s">
        <v>4638</v>
      </c>
      <c r="C2436" s="14" t="s">
        <v>4639</v>
      </c>
      <c r="D2436" s="14">
        <v>1</v>
      </c>
      <c r="E2436" s="15">
        <v>5.0199999999999996</v>
      </c>
      <c r="F2436" s="16" t="s">
        <v>8</v>
      </c>
      <c r="G2436" s="38" t="str">
        <f>HYPERLINK("http://enext.ua/s048002")</f>
        <v>http://enext.ua/s048002</v>
      </c>
    </row>
    <row r="2437" spans="2:7" ht="11.25" outlineLevel="5" x14ac:dyDescent="0.2">
      <c r="B2437" s="14" t="s">
        <v>4640</v>
      </c>
      <c r="C2437" s="14" t="s">
        <v>4641</v>
      </c>
      <c r="D2437" s="14">
        <v>100</v>
      </c>
      <c r="E2437" s="15">
        <v>6.14</v>
      </c>
      <c r="F2437" s="16" t="s">
        <v>8</v>
      </c>
      <c r="G2437" s="38" t="str">
        <f>HYPERLINK("http://enext.ua/s048003")</f>
        <v>http://enext.ua/s048003</v>
      </c>
    </row>
    <row r="2438" spans="2:7" ht="11.25" outlineLevel="5" x14ac:dyDescent="0.2">
      <c r="B2438" s="14" t="s">
        <v>4642</v>
      </c>
      <c r="C2438" s="14" t="s">
        <v>4643</v>
      </c>
      <c r="D2438" s="14">
        <v>1</v>
      </c>
      <c r="E2438" s="15">
        <v>9.2100000000000009</v>
      </c>
      <c r="F2438" s="16" t="s">
        <v>8</v>
      </c>
      <c r="G2438" s="38" t="str">
        <f>HYPERLINK("http://enext.ua/s048001")</f>
        <v>http://enext.ua/s048001</v>
      </c>
    </row>
    <row r="2439" spans="2:7" ht="11.25" outlineLevel="5" x14ac:dyDescent="0.2">
      <c r="B2439" s="14" t="s">
        <v>4644</v>
      </c>
      <c r="C2439" s="14" t="s">
        <v>4645</v>
      </c>
      <c r="D2439" s="14">
        <v>100</v>
      </c>
      <c r="E2439" s="15">
        <v>10.039999999999999</v>
      </c>
      <c r="F2439" s="16" t="s">
        <v>8</v>
      </c>
      <c r="G2439" s="38" t="str">
        <f>HYPERLINK("http://enext.ua/s048004")</f>
        <v>http://enext.ua/s048004</v>
      </c>
    </row>
    <row r="2440" spans="2:7" ht="11.25" outlineLevel="5" x14ac:dyDescent="0.2">
      <c r="B2440" s="14" t="s">
        <v>4646</v>
      </c>
      <c r="C2440" s="14" t="s">
        <v>4647</v>
      </c>
      <c r="D2440" s="14">
        <v>1</v>
      </c>
      <c r="E2440" s="15">
        <v>11.16</v>
      </c>
      <c r="F2440" s="16" t="s">
        <v>8</v>
      </c>
      <c r="G2440" s="38" t="str">
        <f>HYPERLINK("http://enext.ua/s048005")</f>
        <v>http://enext.ua/s048005</v>
      </c>
    </row>
    <row r="2441" spans="2:7" ht="11.25" outlineLevel="5" x14ac:dyDescent="0.2">
      <c r="B2441" s="14" t="s">
        <v>4648</v>
      </c>
      <c r="C2441" s="14" t="s">
        <v>4649</v>
      </c>
      <c r="D2441" s="14">
        <v>1</v>
      </c>
      <c r="E2441" s="15">
        <v>18.13</v>
      </c>
      <c r="F2441" s="16" t="s">
        <v>8</v>
      </c>
      <c r="G2441" s="38" t="str">
        <f>HYPERLINK("http://enext.ua/s048006")</f>
        <v>http://enext.ua/s048006</v>
      </c>
    </row>
    <row r="2442" spans="2:7" ht="11.25" outlineLevel="5" x14ac:dyDescent="0.2">
      <c r="B2442" s="14" t="s">
        <v>4650</v>
      </c>
      <c r="C2442" s="14" t="s">
        <v>4651</v>
      </c>
      <c r="D2442" s="14">
        <v>50</v>
      </c>
      <c r="E2442" s="15">
        <v>28.45</v>
      </c>
      <c r="F2442" s="16" t="s">
        <v>8</v>
      </c>
      <c r="G2442" s="38" t="str">
        <f>HYPERLINK("http://enext.ua/s048007")</f>
        <v>http://enext.ua/s048007</v>
      </c>
    </row>
    <row r="2443" spans="2:7" ht="11.25" outlineLevel="5" x14ac:dyDescent="0.2">
      <c r="B2443" s="14" t="s">
        <v>4652</v>
      </c>
      <c r="C2443" s="14" t="s">
        <v>4653</v>
      </c>
      <c r="D2443" s="14">
        <v>1</v>
      </c>
      <c r="E2443" s="15">
        <v>34.590000000000003</v>
      </c>
      <c r="F2443" s="16" t="s">
        <v>8</v>
      </c>
      <c r="G2443" s="38" t="str">
        <f>HYPERLINK("http://enext.ua/s048008")</f>
        <v>http://enext.ua/s048008</v>
      </c>
    </row>
    <row r="2444" spans="2:7" ht="11.25" outlineLevel="5" x14ac:dyDescent="0.2">
      <c r="B2444" s="14" t="s">
        <v>4654</v>
      </c>
      <c r="C2444" s="14" t="s">
        <v>4655</v>
      </c>
      <c r="D2444" s="14">
        <v>1</v>
      </c>
      <c r="E2444" s="15">
        <v>48.27</v>
      </c>
      <c r="F2444" s="16" t="s">
        <v>8</v>
      </c>
      <c r="G2444" s="38" t="str">
        <f>HYPERLINK("http://enext.ua/s048009")</f>
        <v>http://enext.ua/s048009</v>
      </c>
    </row>
    <row r="2445" spans="2:7" ht="11.25" outlineLevel="5" x14ac:dyDescent="0.2">
      <c r="B2445" s="14" t="s">
        <v>4656</v>
      </c>
      <c r="C2445" s="14" t="s">
        <v>4657</v>
      </c>
      <c r="D2445" s="14">
        <v>1</v>
      </c>
      <c r="E2445" s="15">
        <v>65.83</v>
      </c>
      <c r="F2445" s="16" t="s">
        <v>8</v>
      </c>
      <c r="G2445" s="38" t="str">
        <f>HYPERLINK("http://enext.ua/s048010")</f>
        <v>http://enext.ua/s048010</v>
      </c>
    </row>
    <row r="2446" spans="2:7" ht="12" outlineLevel="4" x14ac:dyDescent="0.2">
      <c r="B2446" s="12"/>
      <c r="C2446" s="37" t="s">
        <v>4658</v>
      </c>
      <c r="D2446" s="12"/>
      <c r="E2446" s="13"/>
      <c r="F2446" s="13"/>
      <c r="G2446" s="12"/>
    </row>
    <row r="2447" spans="2:7" ht="11.25" outlineLevel="5" x14ac:dyDescent="0.2">
      <c r="B2447" s="14" t="s">
        <v>4659</v>
      </c>
      <c r="C2447" s="14" t="s">
        <v>4660</v>
      </c>
      <c r="D2447" s="14">
        <v>100</v>
      </c>
      <c r="E2447" s="15">
        <v>8.7899999999999991</v>
      </c>
      <c r="F2447" s="16" t="s">
        <v>8</v>
      </c>
      <c r="G2447" s="38" t="str">
        <f>HYPERLINK("http://enext.ua/s051001")</f>
        <v>http://enext.ua/s051001</v>
      </c>
    </row>
    <row r="2448" spans="2:7" ht="11.25" outlineLevel="5" x14ac:dyDescent="0.2">
      <c r="B2448" s="14" t="s">
        <v>4661</v>
      </c>
      <c r="C2448" s="14" t="s">
        <v>4662</v>
      </c>
      <c r="D2448" s="14">
        <v>100</v>
      </c>
      <c r="E2448" s="15">
        <v>17.579999999999998</v>
      </c>
      <c r="F2448" s="16" t="s">
        <v>8</v>
      </c>
      <c r="G2448" s="38" t="str">
        <f>HYPERLINK("http://enext.ua/s051002")</f>
        <v>http://enext.ua/s051002</v>
      </c>
    </row>
    <row r="2449" spans="2:7" ht="11.25" outlineLevel="5" x14ac:dyDescent="0.2">
      <c r="B2449" s="14" t="s">
        <v>4663</v>
      </c>
      <c r="C2449" s="14" t="s">
        <v>4664</v>
      </c>
      <c r="D2449" s="14">
        <v>100</v>
      </c>
      <c r="E2449" s="15">
        <v>19.46</v>
      </c>
      <c r="F2449" s="16" t="s">
        <v>8</v>
      </c>
      <c r="G2449" s="38" t="str">
        <f>HYPERLINK("http://enext.ua/s051003")</f>
        <v>http://enext.ua/s051003</v>
      </c>
    </row>
    <row r="2450" spans="2:7" ht="11.25" outlineLevel="5" x14ac:dyDescent="0.2">
      <c r="B2450" s="14" t="s">
        <v>4665</v>
      </c>
      <c r="C2450" s="14" t="s">
        <v>4666</v>
      </c>
      <c r="D2450" s="14">
        <v>50</v>
      </c>
      <c r="E2450" s="15">
        <v>21.76</v>
      </c>
      <c r="F2450" s="16" t="s">
        <v>8</v>
      </c>
      <c r="G2450" s="38" t="str">
        <f>HYPERLINK("http://enext.ua/s051004")</f>
        <v>http://enext.ua/s051004</v>
      </c>
    </row>
    <row r="2451" spans="2:7" ht="11.25" outlineLevel="5" x14ac:dyDescent="0.2">
      <c r="B2451" s="14" t="s">
        <v>4667</v>
      </c>
      <c r="C2451" s="14" t="s">
        <v>4668</v>
      </c>
      <c r="D2451" s="14">
        <v>100</v>
      </c>
      <c r="E2451" s="15">
        <v>25.1</v>
      </c>
      <c r="F2451" s="16" t="s">
        <v>8</v>
      </c>
      <c r="G2451" s="38" t="str">
        <f>HYPERLINK("http://enext.ua/s051005")</f>
        <v>http://enext.ua/s051005</v>
      </c>
    </row>
    <row r="2452" spans="2:7" ht="11.25" outlineLevel="5" x14ac:dyDescent="0.2">
      <c r="B2452" s="14" t="s">
        <v>4669</v>
      </c>
      <c r="C2452" s="14" t="s">
        <v>4670</v>
      </c>
      <c r="D2452" s="14">
        <v>100</v>
      </c>
      <c r="E2452" s="15">
        <v>39.54</v>
      </c>
      <c r="F2452" s="16" t="s">
        <v>8</v>
      </c>
      <c r="G2452" s="38" t="str">
        <f>HYPERLINK("http://enext.ua/s051006")</f>
        <v>http://enext.ua/s051006</v>
      </c>
    </row>
    <row r="2453" spans="2:7" ht="12" outlineLevel="4" x14ac:dyDescent="0.2">
      <c r="B2453" s="12"/>
      <c r="C2453" s="37" t="s">
        <v>4671</v>
      </c>
      <c r="D2453" s="12"/>
      <c r="E2453" s="13"/>
      <c r="F2453" s="13"/>
      <c r="G2453" s="12"/>
    </row>
    <row r="2454" spans="2:7" ht="11.25" outlineLevel="5" x14ac:dyDescent="0.2">
      <c r="B2454" s="14" t="s">
        <v>4672</v>
      </c>
      <c r="C2454" s="14" t="s">
        <v>4673</v>
      </c>
      <c r="D2454" s="14">
        <v>1</v>
      </c>
      <c r="E2454" s="15">
        <v>33.47</v>
      </c>
      <c r="F2454" s="16" t="s">
        <v>8</v>
      </c>
      <c r="G2454" s="38" t="str">
        <f>HYPERLINK("http://enext.ua/s051007")</f>
        <v>http://enext.ua/s051007</v>
      </c>
    </row>
    <row r="2455" spans="2:7" ht="11.25" outlineLevel="5" x14ac:dyDescent="0.2">
      <c r="B2455" s="14" t="s">
        <v>4674</v>
      </c>
      <c r="C2455" s="14" t="s">
        <v>4675</v>
      </c>
      <c r="D2455" s="14">
        <v>1</v>
      </c>
      <c r="E2455" s="15">
        <v>49.09</v>
      </c>
      <c r="F2455" s="16" t="s">
        <v>8</v>
      </c>
      <c r="G2455" s="38" t="str">
        <f>HYPERLINK("http://enext.ua/s051008")</f>
        <v>http://enext.ua/s051008</v>
      </c>
    </row>
    <row r="2456" spans="2:7" ht="11.25" outlineLevel="5" x14ac:dyDescent="0.2">
      <c r="B2456" s="14" t="s">
        <v>4676</v>
      </c>
      <c r="C2456" s="14" t="s">
        <v>4677</v>
      </c>
      <c r="D2456" s="14">
        <v>1</v>
      </c>
      <c r="E2456" s="15">
        <v>54.39</v>
      </c>
      <c r="F2456" s="16" t="s">
        <v>8</v>
      </c>
      <c r="G2456" s="38" t="str">
        <f>HYPERLINK("http://enext.ua/s051009")</f>
        <v>http://enext.ua/s051009</v>
      </c>
    </row>
    <row r="2457" spans="2:7" ht="11.25" outlineLevel="5" x14ac:dyDescent="0.2">
      <c r="B2457" s="14" t="s">
        <v>4678</v>
      </c>
      <c r="C2457" s="14" t="s">
        <v>4679</v>
      </c>
      <c r="D2457" s="14">
        <v>1</v>
      </c>
      <c r="E2457" s="15">
        <v>61.93</v>
      </c>
      <c r="F2457" s="16" t="s">
        <v>8</v>
      </c>
      <c r="G2457" s="38" t="str">
        <f>HYPERLINK("http://enext.ua/s051010")</f>
        <v>http://enext.ua/s051010</v>
      </c>
    </row>
    <row r="2458" spans="2:7" ht="11.25" outlineLevel="5" x14ac:dyDescent="0.2">
      <c r="B2458" s="14" t="s">
        <v>4680</v>
      </c>
      <c r="C2458" s="14" t="s">
        <v>4681</v>
      </c>
      <c r="D2458" s="14">
        <v>1</v>
      </c>
      <c r="E2458" s="15">
        <v>73.92</v>
      </c>
      <c r="F2458" s="16" t="s">
        <v>8</v>
      </c>
      <c r="G2458" s="38" t="str">
        <f>HYPERLINK("http://enext.ua/s051011")</f>
        <v>http://enext.ua/s051011</v>
      </c>
    </row>
    <row r="2459" spans="2:7" ht="11.25" outlineLevel="5" x14ac:dyDescent="0.2">
      <c r="B2459" s="14" t="s">
        <v>4682</v>
      </c>
      <c r="C2459" s="14" t="s">
        <v>4683</v>
      </c>
      <c r="D2459" s="14">
        <v>1</v>
      </c>
      <c r="E2459" s="15">
        <v>123.3</v>
      </c>
      <c r="F2459" s="16" t="s">
        <v>8</v>
      </c>
      <c r="G2459" s="38" t="str">
        <f>HYPERLINK("http://enext.ua/s051012")</f>
        <v>http://enext.ua/s051012</v>
      </c>
    </row>
    <row r="2460" spans="2:7" ht="11.25" outlineLevel="5" x14ac:dyDescent="0.2">
      <c r="B2460" s="14" t="s">
        <v>4684</v>
      </c>
      <c r="C2460" s="14" t="s">
        <v>4685</v>
      </c>
      <c r="D2460" s="14">
        <v>1</v>
      </c>
      <c r="E2460" s="15">
        <v>217.02</v>
      </c>
      <c r="F2460" s="16" t="s">
        <v>8</v>
      </c>
      <c r="G2460" s="38" t="str">
        <f>HYPERLINK("http://enext.ua/s051013")</f>
        <v>http://enext.ua/s051013</v>
      </c>
    </row>
    <row r="2461" spans="2:7" ht="11.25" outlineLevel="5" x14ac:dyDescent="0.2">
      <c r="B2461" s="14" t="s">
        <v>4686</v>
      </c>
      <c r="C2461" s="14" t="s">
        <v>4687</v>
      </c>
      <c r="D2461" s="14">
        <v>1</v>
      </c>
      <c r="E2461" s="15">
        <v>444.91</v>
      </c>
      <c r="F2461" s="16" t="s">
        <v>8</v>
      </c>
      <c r="G2461" s="38" t="str">
        <f>HYPERLINK("http://enext.ua/s051014")</f>
        <v>http://enext.ua/s051014</v>
      </c>
    </row>
    <row r="2462" spans="2:7" ht="11.25" outlineLevel="5" x14ac:dyDescent="0.2">
      <c r="B2462" s="14" t="s">
        <v>4688</v>
      </c>
      <c r="C2462" s="14" t="s">
        <v>4689</v>
      </c>
      <c r="D2462" s="14">
        <v>1</v>
      </c>
      <c r="E2462" s="15">
        <v>641.57000000000005</v>
      </c>
      <c r="F2462" s="16" t="s">
        <v>8</v>
      </c>
      <c r="G2462" s="38" t="str">
        <f>HYPERLINK("http://enext.ua/s051015")</f>
        <v>http://enext.ua/s051015</v>
      </c>
    </row>
    <row r="2463" spans="2:7" ht="11.25" outlineLevel="5" x14ac:dyDescent="0.2">
      <c r="B2463" s="14" t="s">
        <v>4690</v>
      </c>
      <c r="C2463" s="14" t="s">
        <v>4691</v>
      </c>
      <c r="D2463" s="14">
        <v>1</v>
      </c>
      <c r="E2463" s="15">
        <v>740.87</v>
      </c>
      <c r="F2463" s="16" t="s">
        <v>8</v>
      </c>
      <c r="G2463" s="38" t="str">
        <f>HYPERLINK("http://enext.ua/s051016")</f>
        <v>http://enext.ua/s051016</v>
      </c>
    </row>
    <row r="2464" spans="2:7" ht="12" outlineLevel="4" x14ac:dyDescent="0.2">
      <c r="B2464" s="12"/>
      <c r="C2464" s="37" t="s">
        <v>4692</v>
      </c>
      <c r="D2464" s="12"/>
      <c r="E2464" s="13"/>
      <c r="F2464" s="13"/>
      <c r="G2464" s="12"/>
    </row>
    <row r="2465" spans="2:7" ht="11.25" outlineLevel="5" x14ac:dyDescent="0.2">
      <c r="B2465" s="14" t="s">
        <v>4693</v>
      </c>
      <c r="C2465" s="14" t="s">
        <v>4694</v>
      </c>
      <c r="D2465" s="14">
        <v>1</v>
      </c>
      <c r="E2465" s="15">
        <v>2.5099999999999998</v>
      </c>
      <c r="F2465" s="16" t="s">
        <v>8</v>
      </c>
      <c r="G2465" s="38" t="str">
        <f>HYPERLINK("http://enext.ua/s052001")</f>
        <v>http://enext.ua/s052001</v>
      </c>
    </row>
    <row r="2466" spans="2:7" ht="11.25" outlineLevel="5" x14ac:dyDescent="0.2">
      <c r="B2466" s="14" t="s">
        <v>4695</v>
      </c>
      <c r="C2466" s="14" t="s">
        <v>4696</v>
      </c>
      <c r="D2466" s="14">
        <v>1</v>
      </c>
      <c r="E2466" s="15">
        <v>3.07</v>
      </c>
      <c r="F2466" s="16" t="s">
        <v>8</v>
      </c>
      <c r="G2466" s="38" t="str">
        <f>HYPERLINK("http://enext.ua/s052004")</f>
        <v>http://enext.ua/s052004</v>
      </c>
    </row>
    <row r="2467" spans="2:7" ht="11.25" outlineLevel="5" x14ac:dyDescent="0.2">
      <c r="B2467" s="14" t="s">
        <v>4697</v>
      </c>
      <c r="C2467" s="14" t="s">
        <v>4698</v>
      </c>
      <c r="D2467" s="14">
        <v>1</v>
      </c>
      <c r="E2467" s="15">
        <v>3.63</v>
      </c>
      <c r="F2467" s="16" t="s">
        <v>8</v>
      </c>
      <c r="G2467" s="38" t="str">
        <f>HYPERLINK("http://enext.ua/s052005")</f>
        <v>http://enext.ua/s052005</v>
      </c>
    </row>
    <row r="2468" spans="2:7" ht="11.25" outlineLevel="5" x14ac:dyDescent="0.2">
      <c r="B2468" s="14" t="s">
        <v>4699</v>
      </c>
      <c r="C2468" s="14" t="s">
        <v>4700</v>
      </c>
      <c r="D2468" s="14">
        <v>1</v>
      </c>
      <c r="E2468" s="15">
        <v>3.63</v>
      </c>
      <c r="F2468" s="16" t="s">
        <v>8</v>
      </c>
      <c r="G2468" s="38" t="str">
        <f>HYPERLINK("http://enext.ua/s052002")</f>
        <v>http://enext.ua/s052002</v>
      </c>
    </row>
    <row r="2469" spans="2:7" ht="11.25" outlineLevel="5" x14ac:dyDescent="0.2">
      <c r="B2469" s="14" t="s">
        <v>4701</v>
      </c>
      <c r="C2469" s="14" t="s">
        <v>4702</v>
      </c>
      <c r="D2469" s="14">
        <v>1</v>
      </c>
      <c r="E2469" s="15">
        <v>4.18</v>
      </c>
      <c r="F2469" s="16" t="s">
        <v>8</v>
      </c>
      <c r="G2469" s="38" t="str">
        <f>HYPERLINK("http://enext.ua/s052006")</f>
        <v>http://enext.ua/s052006</v>
      </c>
    </row>
    <row r="2470" spans="2:7" ht="11.25" outlineLevel="5" x14ac:dyDescent="0.2">
      <c r="B2470" s="14" t="s">
        <v>4703</v>
      </c>
      <c r="C2470" s="14" t="s">
        <v>4704</v>
      </c>
      <c r="D2470" s="14">
        <v>1</v>
      </c>
      <c r="E2470" s="15">
        <v>4.18</v>
      </c>
      <c r="F2470" s="16" t="s">
        <v>8</v>
      </c>
      <c r="G2470" s="38" t="str">
        <f>HYPERLINK("http://enext.ua/s052003")</f>
        <v>http://enext.ua/s052003</v>
      </c>
    </row>
    <row r="2471" spans="2:7" ht="12" outlineLevel="4" x14ac:dyDescent="0.2">
      <c r="B2471" s="12"/>
      <c r="C2471" s="37" t="s">
        <v>4705</v>
      </c>
      <c r="D2471" s="12"/>
      <c r="E2471" s="13"/>
      <c r="F2471" s="13"/>
      <c r="G2471" s="12"/>
    </row>
    <row r="2472" spans="2:7" ht="11.25" outlineLevel="5" x14ac:dyDescent="0.2">
      <c r="B2472" s="14" t="s">
        <v>4706</v>
      </c>
      <c r="C2472" s="14" t="s">
        <v>4707</v>
      </c>
      <c r="D2472" s="14">
        <v>1</v>
      </c>
      <c r="E2472" s="15">
        <v>19.809999999999999</v>
      </c>
      <c r="F2472" s="16" t="s">
        <v>8</v>
      </c>
      <c r="G2472" s="38" t="str">
        <f>HYPERLINK("http://enext.ua/1111-011")</f>
        <v>http://enext.ua/1111-011</v>
      </c>
    </row>
    <row r="2473" spans="2:7" ht="11.25" outlineLevel="5" x14ac:dyDescent="0.2">
      <c r="B2473" s="14" t="s">
        <v>4708</v>
      </c>
      <c r="C2473" s="14" t="s">
        <v>4709</v>
      </c>
      <c r="D2473" s="14">
        <v>1</v>
      </c>
      <c r="E2473" s="15">
        <v>20.92</v>
      </c>
      <c r="F2473" s="16" t="s">
        <v>8</v>
      </c>
      <c r="G2473" s="38" t="str">
        <f>HYPERLINK("http://enext.ua/1111-013")</f>
        <v>http://enext.ua/1111-013</v>
      </c>
    </row>
    <row r="2474" spans="2:7" ht="12" outlineLevel="3" x14ac:dyDescent="0.2">
      <c r="B2474" s="10"/>
      <c r="C2474" s="36" t="s">
        <v>4710</v>
      </c>
      <c r="D2474" s="10"/>
      <c r="E2474" s="11"/>
      <c r="F2474" s="11"/>
      <c r="G2474" s="10"/>
    </row>
    <row r="2475" spans="2:7" ht="22.5" outlineLevel="4" x14ac:dyDescent="0.2">
      <c r="B2475" s="14" t="s">
        <v>4711</v>
      </c>
      <c r="C2475" s="14" t="s">
        <v>4712</v>
      </c>
      <c r="D2475" s="14">
        <v>10</v>
      </c>
      <c r="E2475" s="15">
        <v>116.04</v>
      </c>
      <c r="F2475" s="16" t="s">
        <v>8</v>
      </c>
      <c r="G2475" s="38" t="str">
        <f>HYPERLINK("http://enext.ua/p0680001")</f>
        <v>http://enext.ua/p0680001</v>
      </c>
    </row>
    <row r="2476" spans="2:7" ht="22.5" outlineLevel="4" x14ac:dyDescent="0.2">
      <c r="B2476" s="14" t="s">
        <v>4713</v>
      </c>
      <c r="C2476" s="14" t="s">
        <v>4714</v>
      </c>
      <c r="D2476" s="14">
        <v>5</v>
      </c>
      <c r="E2476" s="15">
        <v>223.71</v>
      </c>
      <c r="F2476" s="16" t="s">
        <v>8</v>
      </c>
      <c r="G2476" s="38" t="str">
        <f>HYPERLINK("http://enext.ua/p0680002")</f>
        <v>http://enext.ua/p0680002</v>
      </c>
    </row>
    <row r="2477" spans="2:7" ht="22.5" outlineLevel="4" x14ac:dyDescent="0.2">
      <c r="B2477" s="14" t="s">
        <v>4715</v>
      </c>
      <c r="C2477" s="14" t="s">
        <v>4716</v>
      </c>
      <c r="D2477" s="14">
        <v>5</v>
      </c>
      <c r="E2477" s="15">
        <v>228.17</v>
      </c>
      <c r="F2477" s="16" t="s">
        <v>8</v>
      </c>
      <c r="G2477" s="38" t="str">
        <f>HYPERLINK("http://enext.ua/p0680003")</f>
        <v>http://enext.ua/p0680003</v>
      </c>
    </row>
    <row r="2478" spans="2:7" ht="22.5" outlineLevel="4" x14ac:dyDescent="0.2">
      <c r="B2478" s="14" t="s">
        <v>4717</v>
      </c>
      <c r="C2478" s="14" t="s">
        <v>4718</v>
      </c>
      <c r="D2478" s="14">
        <v>5</v>
      </c>
      <c r="E2478" s="15">
        <v>572.12</v>
      </c>
      <c r="F2478" s="16" t="s">
        <v>8</v>
      </c>
      <c r="G2478" s="38" t="str">
        <f>HYPERLINK("http://enext.ua/p0680004")</f>
        <v>http://enext.ua/p0680004</v>
      </c>
    </row>
    <row r="2479" spans="2:7" ht="22.5" outlineLevel="4" x14ac:dyDescent="0.2">
      <c r="B2479" s="14" t="s">
        <v>4719</v>
      </c>
      <c r="C2479" s="14" t="s">
        <v>4720</v>
      </c>
      <c r="D2479" s="14">
        <v>6</v>
      </c>
      <c r="E2479" s="15">
        <v>600.01</v>
      </c>
      <c r="F2479" s="16" t="s">
        <v>8</v>
      </c>
      <c r="G2479" s="38" t="str">
        <f>HYPERLINK("http://enext.ua/p0680005")</f>
        <v>http://enext.ua/p0680005</v>
      </c>
    </row>
    <row r="2480" spans="2:7" ht="22.5" outlineLevel="4" x14ac:dyDescent="0.2">
      <c r="B2480" s="14" t="s">
        <v>4721</v>
      </c>
      <c r="C2480" s="14" t="s">
        <v>4722</v>
      </c>
      <c r="D2480" s="14">
        <v>6</v>
      </c>
      <c r="E2480" s="15">
        <v>653.11</v>
      </c>
      <c r="F2480" s="16" t="s">
        <v>8</v>
      </c>
      <c r="G2480" s="38" t="str">
        <f>HYPERLINK("http://enext.ua/p0680006")</f>
        <v>http://enext.ua/p0680006</v>
      </c>
    </row>
    <row r="2481" spans="2:7" ht="12" outlineLevel="3" x14ac:dyDescent="0.2">
      <c r="B2481" s="10"/>
      <c r="C2481" s="36" t="s">
        <v>4723</v>
      </c>
      <c r="D2481" s="10"/>
      <c r="E2481" s="11"/>
      <c r="F2481" s="11"/>
      <c r="G2481" s="10"/>
    </row>
    <row r="2482" spans="2:7" ht="12" outlineLevel="4" x14ac:dyDescent="0.2">
      <c r="B2482" s="12"/>
      <c r="C2482" s="37" t="s">
        <v>4724</v>
      </c>
      <c r="D2482" s="12"/>
      <c r="E2482" s="13"/>
      <c r="F2482" s="13"/>
      <c r="G2482" s="12"/>
    </row>
    <row r="2483" spans="2:7" ht="11.25" outlineLevel="5" x14ac:dyDescent="0.2">
      <c r="B2483" s="14" t="s">
        <v>4725</v>
      </c>
      <c r="C2483" s="14" t="s">
        <v>4726</v>
      </c>
      <c r="D2483" s="14">
        <v>1</v>
      </c>
      <c r="E2483" s="15">
        <v>11.72</v>
      </c>
      <c r="F2483" s="16" t="s">
        <v>8</v>
      </c>
      <c r="G2483" s="38" t="str">
        <f>HYPERLINK("http://enext.ua/s054001")</f>
        <v>http://enext.ua/s054001</v>
      </c>
    </row>
    <row r="2484" spans="2:7" ht="11.25" outlineLevel="5" x14ac:dyDescent="0.2">
      <c r="B2484" s="14" t="s">
        <v>4727</v>
      </c>
      <c r="C2484" s="14" t="s">
        <v>4728</v>
      </c>
      <c r="D2484" s="14">
        <v>1</v>
      </c>
      <c r="E2484" s="15">
        <v>15.34</v>
      </c>
      <c r="F2484" s="16" t="s">
        <v>8</v>
      </c>
      <c r="G2484" s="38" t="str">
        <f>HYPERLINK("http://enext.ua/s054002")</f>
        <v>http://enext.ua/s054002</v>
      </c>
    </row>
    <row r="2485" spans="2:7" ht="11.25" outlineLevel="5" x14ac:dyDescent="0.2">
      <c r="B2485" s="14" t="s">
        <v>4729</v>
      </c>
      <c r="C2485" s="14" t="s">
        <v>4730</v>
      </c>
      <c r="D2485" s="14">
        <v>10</v>
      </c>
      <c r="E2485" s="15">
        <v>17.3</v>
      </c>
      <c r="F2485" s="16" t="s">
        <v>8</v>
      </c>
      <c r="G2485" s="38" t="str">
        <f>HYPERLINK("http://enext.ua/s054003")</f>
        <v>http://enext.ua/s054003</v>
      </c>
    </row>
    <row r="2486" spans="2:7" ht="11.25" outlineLevel="5" x14ac:dyDescent="0.2">
      <c r="B2486" s="14" t="s">
        <v>4731</v>
      </c>
      <c r="C2486" s="14" t="s">
        <v>4732</v>
      </c>
      <c r="D2486" s="14">
        <v>1</v>
      </c>
      <c r="E2486" s="15">
        <v>20.92</v>
      </c>
      <c r="F2486" s="16" t="s">
        <v>8</v>
      </c>
      <c r="G2486" s="38" t="str">
        <f>HYPERLINK("http://enext.ua/s054004")</f>
        <v>http://enext.ua/s054004</v>
      </c>
    </row>
    <row r="2487" spans="2:7" ht="11.25" outlineLevel="5" x14ac:dyDescent="0.2">
      <c r="B2487" s="14" t="s">
        <v>4733</v>
      </c>
      <c r="C2487" s="14" t="s">
        <v>4734</v>
      </c>
      <c r="D2487" s="14">
        <v>20</v>
      </c>
      <c r="E2487" s="15">
        <v>32.08</v>
      </c>
      <c r="F2487" s="16" t="s">
        <v>8</v>
      </c>
      <c r="G2487" s="38" t="str">
        <f>HYPERLINK("http://enext.ua/s054005")</f>
        <v>http://enext.ua/s054005</v>
      </c>
    </row>
    <row r="2488" spans="2:7" ht="11.25" outlineLevel="5" x14ac:dyDescent="0.2">
      <c r="B2488" s="14" t="s">
        <v>4735</v>
      </c>
      <c r="C2488" s="14" t="s">
        <v>4736</v>
      </c>
      <c r="D2488" s="14">
        <v>10</v>
      </c>
      <c r="E2488" s="15">
        <v>47.71</v>
      </c>
      <c r="F2488" s="16" t="s">
        <v>8</v>
      </c>
      <c r="G2488" s="38" t="str">
        <f>HYPERLINK("http://enext.ua/s054006")</f>
        <v>http://enext.ua/s054006</v>
      </c>
    </row>
    <row r="2489" spans="2:7" ht="12" outlineLevel="4" x14ac:dyDescent="0.2">
      <c r="B2489" s="12"/>
      <c r="C2489" s="37" t="s">
        <v>4737</v>
      </c>
      <c r="D2489" s="12"/>
      <c r="E2489" s="13"/>
      <c r="F2489" s="13"/>
      <c r="G2489" s="12"/>
    </row>
    <row r="2490" spans="2:7" ht="22.5" outlineLevel="5" x14ac:dyDescent="0.2">
      <c r="B2490" s="14" t="s">
        <v>4738</v>
      </c>
      <c r="C2490" s="14" t="s">
        <v>4739</v>
      </c>
      <c r="D2490" s="14">
        <v>20</v>
      </c>
      <c r="E2490" s="15">
        <v>10.039999999999999</v>
      </c>
      <c r="F2490" s="16" t="s">
        <v>8</v>
      </c>
      <c r="G2490" s="38" t="str">
        <f>HYPERLINK("http://enext.ua/s054007")</f>
        <v>http://enext.ua/s054007</v>
      </c>
    </row>
    <row r="2491" spans="2:7" ht="22.5" outlineLevel="5" x14ac:dyDescent="0.2">
      <c r="B2491" s="14" t="s">
        <v>4740</v>
      </c>
      <c r="C2491" s="14" t="s">
        <v>4741</v>
      </c>
      <c r="D2491" s="14">
        <v>20</v>
      </c>
      <c r="E2491" s="15">
        <v>12.55</v>
      </c>
      <c r="F2491" s="16" t="s">
        <v>8</v>
      </c>
      <c r="G2491" s="38" t="str">
        <f>HYPERLINK("http://enext.ua/s054008")</f>
        <v>http://enext.ua/s054008</v>
      </c>
    </row>
    <row r="2492" spans="2:7" ht="22.5" outlineLevel="5" x14ac:dyDescent="0.2">
      <c r="B2492" s="14" t="s">
        <v>4742</v>
      </c>
      <c r="C2492" s="14" t="s">
        <v>4743</v>
      </c>
      <c r="D2492" s="14">
        <v>10</v>
      </c>
      <c r="E2492" s="15">
        <v>15.62</v>
      </c>
      <c r="F2492" s="16" t="s">
        <v>8</v>
      </c>
      <c r="G2492" s="38" t="str">
        <f>HYPERLINK("http://enext.ua/s054009")</f>
        <v>http://enext.ua/s054009</v>
      </c>
    </row>
    <row r="2493" spans="2:7" ht="22.5" outlineLevel="5" x14ac:dyDescent="0.2">
      <c r="B2493" s="14" t="s">
        <v>4744</v>
      </c>
      <c r="C2493" s="14" t="s">
        <v>4745</v>
      </c>
      <c r="D2493" s="14">
        <v>10</v>
      </c>
      <c r="E2493" s="15">
        <v>18.690000000000001</v>
      </c>
      <c r="F2493" s="16" t="s">
        <v>8</v>
      </c>
      <c r="G2493" s="38" t="str">
        <f>HYPERLINK("http://enext.ua/s054010")</f>
        <v>http://enext.ua/s054010</v>
      </c>
    </row>
    <row r="2494" spans="2:7" ht="22.5" outlineLevel="5" x14ac:dyDescent="0.2">
      <c r="B2494" s="14" t="s">
        <v>4746</v>
      </c>
      <c r="C2494" s="14" t="s">
        <v>4747</v>
      </c>
      <c r="D2494" s="14">
        <v>10</v>
      </c>
      <c r="E2494" s="15">
        <v>29.01</v>
      </c>
      <c r="F2494" s="16" t="s">
        <v>8</v>
      </c>
      <c r="G2494" s="38" t="str">
        <f>HYPERLINK("http://enext.ua/s054011")</f>
        <v>http://enext.ua/s054011</v>
      </c>
    </row>
    <row r="2495" spans="2:7" ht="22.5" outlineLevel="5" x14ac:dyDescent="0.2">
      <c r="B2495" s="14" t="s">
        <v>4748</v>
      </c>
      <c r="C2495" s="14" t="s">
        <v>4749</v>
      </c>
      <c r="D2495" s="14">
        <v>10</v>
      </c>
      <c r="E2495" s="15">
        <v>40.17</v>
      </c>
      <c r="F2495" s="16" t="s">
        <v>8</v>
      </c>
      <c r="G2495" s="38" t="str">
        <f>HYPERLINK("http://enext.ua/s054012")</f>
        <v>http://enext.ua/s054012</v>
      </c>
    </row>
    <row r="2496" spans="2:7" ht="22.5" outlineLevel="5" x14ac:dyDescent="0.2">
      <c r="B2496" s="14" t="s">
        <v>4750</v>
      </c>
      <c r="C2496" s="14" t="s">
        <v>4751</v>
      </c>
      <c r="D2496" s="14">
        <v>1</v>
      </c>
      <c r="E2496" s="15">
        <v>0.62</v>
      </c>
      <c r="F2496" s="16" t="s">
        <v>8</v>
      </c>
      <c r="G2496" s="38" t="str">
        <f>HYPERLINK("http://enext.ua/m054025")</f>
        <v>http://enext.ua/m054025</v>
      </c>
    </row>
    <row r="2497" spans="2:7" ht="22.5" outlineLevel="5" x14ac:dyDescent="0.2">
      <c r="B2497" s="14" t="s">
        <v>4752</v>
      </c>
      <c r="C2497" s="14" t="s">
        <v>4753</v>
      </c>
      <c r="D2497" s="14">
        <v>1</v>
      </c>
      <c r="E2497" s="15">
        <v>1.42</v>
      </c>
      <c r="F2497" s="16" t="s">
        <v>8</v>
      </c>
      <c r="G2497" s="38" t="str">
        <f>HYPERLINK("http://enext.ua/m054026")</f>
        <v>http://enext.ua/m054026</v>
      </c>
    </row>
    <row r="2498" spans="2:7" ht="22.5" outlineLevel="5" x14ac:dyDescent="0.2">
      <c r="B2498" s="14" t="s">
        <v>4754</v>
      </c>
      <c r="C2498" s="14" t="s">
        <v>4755</v>
      </c>
      <c r="D2498" s="14">
        <v>1</v>
      </c>
      <c r="E2498" s="15">
        <v>2.5299999999999998</v>
      </c>
      <c r="F2498" s="16" t="s">
        <v>8</v>
      </c>
      <c r="G2498" s="38" t="str">
        <f>HYPERLINK("http://enext.ua/m054027")</f>
        <v>http://enext.ua/m054027</v>
      </c>
    </row>
    <row r="2499" spans="2:7" ht="22.5" outlineLevel="5" x14ac:dyDescent="0.2">
      <c r="B2499" s="14" t="s">
        <v>4756</v>
      </c>
      <c r="C2499" s="14" t="s">
        <v>4757</v>
      </c>
      <c r="D2499" s="14">
        <v>1</v>
      </c>
      <c r="E2499" s="15">
        <v>2.73</v>
      </c>
      <c r="F2499" s="16" t="s">
        <v>8</v>
      </c>
      <c r="G2499" s="14"/>
    </row>
    <row r="2500" spans="2:7" ht="11.25" outlineLevel="5" x14ac:dyDescent="0.2">
      <c r="B2500" s="14" t="s">
        <v>4758</v>
      </c>
      <c r="C2500" s="14" t="s">
        <v>4759</v>
      </c>
      <c r="D2500" s="14">
        <v>1</v>
      </c>
      <c r="E2500" s="15">
        <v>0.09</v>
      </c>
      <c r="F2500" s="16" t="s">
        <v>8</v>
      </c>
      <c r="G2500" s="38" t="str">
        <f>HYPERLINK("http://enext.ua/m054028")</f>
        <v>http://enext.ua/m054028</v>
      </c>
    </row>
    <row r="2501" spans="2:7" ht="11.25" outlineLevel="5" x14ac:dyDescent="0.2">
      <c r="B2501" s="14" t="s">
        <v>4760</v>
      </c>
      <c r="C2501" s="14" t="s">
        <v>4761</v>
      </c>
      <c r="D2501" s="14">
        <v>1</v>
      </c>
      <c r="E2501" s="15">
        <v>0.19</v>
      </c>
      <c r="F2501" s="16" t="s">
        <v>8</v>
      </c>
      <c r="G2501" s="38" t="str">
        <f>HYPERLINK("http://enext.ua/m054029")</f>
        <v>http://enext.ua/m054029</v>
      </c>
    </row>
    <row r="2502" spans="2:7" ht="11.25" outlineLevel="5" x14ac:dyDescent="0.2">
      <c r="B2502" s="14" t="s">
        <v>4762</v>
      </c>
      <c r="C2502" s="14" t="s">
        <v>4763</v>
      </c>
      <c r="D2502" s="14">
        <v>1</v>
      </c>
      <c r="E2502" s="15">
        <v>0.34</v>
      </c>
      <c r="F2502" s="16" t="s">
        <v>8</v>
      </c>
      <c r="G2502" s="38" t="str">
        <f>HYPERLINK("http://enext.ua/m054030")</f>
        <v>http://enext.ua/m054030</v>
      </c>
    </row>
    <row r="2503" spans="2:7" ht="12" outlineLevel="3" x14ac:dyDescent="0.2">
      <c r="B2503" s="10"/>
      <c r="C2503" s="36" t="s">
        <v>4764</v>
      </c>
      <c r="D2503" s="10"/>
      <c r="E2503" s="11"/>
      <c r="F2503" s="11"/>
      <c r="G2503" s="10"/>
    </row>
    <row r="2504" spans="2:7" ht="12" outlineLevel="4" x14ac:dyDescent="0.2">
      <c r="B2504" s="12"/>
      <c r="C2504" s="37" t="s">
        <v>4765</v>
      </c>
      <c r="D2504" s="12"/>
      <c r="E2504" s="13"/>
      <c r="F2504" s="13"/>
      <c r="G2504" s="12"/>
    </row>
    <row r="2505" spans="2:7" ht="11.25" outlineLevel="5" x14ac:dyDescent="0.2">
      <c r="B2505" s="14" t="s">
        <v>4766</v>
      </c>
      <c r="C2505" s="14" t="s">
        <v>4767</v>
      </c>
      <c r="D2505" s="14">
        <v>20</v>
      </c>
      <c r="E2505" s="15">
        <v>180.48</v>
      </c>
      <c r="F2505" s="16" t="s">
        <v>8</v>
      </c>
      <c r="G2505" s="38" t="str">
        <f>HYPERLINK("http://enext.ua/s017001")</f>
        <v>http://enext.ua/s017001</v>
      </c>
    </row>
    <row r="2506" spans="2:7" ht="11.25" outlineLevel="5" x14ac:dyDescent="0.2">
      <c r="B2506" s="14" t="s">
        <v>4768</v>
      </c>
      <c r="C2506" s="14" t="s">
        <v>4769</v>
      </c>
      <c r="D2506" s="14">
        <v>1</v>
      </c>
      <c r="E2506" s="15">
        <v>238.77</v>
      </c>
      <c r="F2506" s="16" t="s">
        <v>8</v>
      </c>
      <c r="G2506" s="38" t="str">
        <f>HYPERLINK("http://enext.ua/s017004")</f>
        <v>http://enext.ua/s017004</v>
      </c>
    </row>
    <row r="2507" spans="2:7" ht="11.25" outlineLevel="5" x14ac:dyDescent="0.2">
      <c r="B2507" s="14" t="s">
        <v>4770</v>
      </c>
      <c r="C2507" s="14" t="s">
        <v>4771</v>
      </c>
      <c r="D2507" s="14">
        <v>20</v>
      </c>
      <c r="E2507" s="15">
        <v>41.57</v>
      </c>
      <c r="F2507" s="16" t="s">
        <v>8</v>
      </c>
      <c r="G2507" s="38" t="str">
        <f>HYPERLINK("http://enext.ua/s017007")</f>
        <v>http://enext.ua/s017007</v>
      </c>
    </row>
    <row r="2508" spans="2:7" ht="11.25" outlineLevel="5" x14ac:dyDescent="0.2">
      <c r="B2508" s="14" t="s">
        <v>4772</v>
      </c>
      <c r="C2508" s="14" t="s">
        <v>4773</v>
      </c>
      <c r="D2508" s="14">
        <v>5</v>
      </c>
      <c r="E2508" s="15">
        <v>321.07</v>
      </c>
      <c r="F2508" s="16" t="s">
        <v>8</v>
      </c>
      <c r="G2508" s="38" t="str">
        <f>HYPERLINK("http://enext.ua/s017002")</f>
        <v>http://enext.ua/s017002</v>
      </c>
    </row>
    <row r="2509" spans="2:7" ht="11.25" outlineLevel="5" x14ac:dyDescent="0.2">
      <c r="B2509" s="14" t="s">
        <v>4774</v>
      </c>
      <c r="C2509" s="14" t="s">
        <v>4775</v>
      </c>
      <c r="D2509" s="14">
        <v>5</v>
      </c>
      <c r="E2509" s="15">
        <v>495.4</v>
      </c>
      <c r="F2509" s="16" t="s">
        <v>8</v>
      </c>
      <c r="G2509" s="38" t="str">
        <f>HYPERLINK("http://enext.ua/s017005")</f>
        <v>http://enext.ua/s017005</v>
      </c>
    </row>
    <row r="2510" spans="2:7" ht="11.25" outlineLevel="5" x14ac:dyDescent="0.2">
      <c r="B2510" s="14" t="s">
        <v>4776</v>
      </c>
      <c r="C2510" s="14" t="s">
        <v>4777</v>
      </c>
      <c r="D2510" s="14">
        <v>10</v>
      </c>
      <c r="E2510" s="15">
        <v>422.6</v>
      </c>
      <c r="F2510" s="16" t="s">
        <v>8</v>
      </c>
      <c r="G2510" s="38" t="str">
        <f>HYPERLINK("http://enext.ua/s017003")</f>
        <v>http://enext.ua/s017003</v>
      </c>
    </row>
    <row r="2511" spans="2:7" ht="11.25" outlineLevel="5" x14ac:dyDescent="0.2">
      <c r="B2511" s="14" t="s">
        <v>4778</v>
      </c>
      <c r="C2511" s="14" t="s">
        <v>4779</v>
      </c>
      <c r="D2511" s="14">
        <v>5</v>
      </c>
      <c r="E2511" s="15">
        <v>850.5</v>
      </c>
      <c r="F2511" s="16" t="s">
        <v>8</v>
      </c>
      <c r="G2511" s="38" t="str">
        <f>HYPERLINK("http://enext.ua/s017006")</f>
        <v>http://enext.ua/s017006</v>
      </c>
    </row>
    <row r="2512" spans="2:7" ht="11.25" outlineLevel="5" x14ac:dyDescent="0.2">
      <c r="B2512" s="14" t="s">
        <v>4780</v>
      </c>
      <c r="C2512" s="14" t="s">
        <v>4781</v>
      </c>
      <c r="D2512" s="14">
        <v>5</v>
      </c>
      <c r="E2512" s="15">
        <v>107.39</v>
      </c>
      <c r="F2512" s="16" t="s">
        <v>8</v>
      </c>
      <c r="G2512" s="38" t="str">
        <f>HYPERLINK("http://enext.ua/s017008")</f>
        <v>http://enext.ua/s017008</v>
      </c>
    </row>
    <row r="2513" spans="2:7" ht="12" outlineLevel="4" x14ac:dyDescent="0.2">
      <c r="B2513" s="12"/>
      <c r="C2513" s="37" t="s">
        <v>4782</v>
      </c>
      <c r="D2513" s="12"/>
      <c r="E2513" s="13"/>
      <c r="F2513" s="13"/>
      <c r="G2513" s="12"/>
    </row>
    <row r="2514" spans="2:7" ht="11.25" outlineLevel="5" x14ac:dyDescent="0.2">
      <c r="B2514" s="14" t="s">
        <v>4783</v>
      </c>
      <c r="C2514" s="14" t="s">
        <v>4784</v>
      </c>
      <c r="D2514" s="14">
        <v>20</v>
      </c>
      <c r="E2514" s="15">
        <v>196.66</v>
      </c>
      <c r="F2514" s="16" t="s">
        <v>8</v>
      </c>
      <c r="G2514" s="38" t="str">
        <f>HYPERLINK("http://enext.ua/s180001")</f>
        <v>http://enext.ua/s180001</v>
      </c>
    </row>
    <row r="2515" spans="2:7" ht="11.25" outlineLevel="5" x14ac:dyDescent="0.2">
      <c r="B2515" s="14" t="s">
        <v>4785</v>
      </c>
      <c r="C2515" s="14" t="s">
        <v>4786</v>
      </c>
      <c r="D2515" s="14">
        <v>1</v>
      </c>
      <c r="E2515" s="15">
        <v>280.89999999999998</v>
      </c>
      <c r="F2515" s="16" t="s">
        <v>8</v>
      </c>
      <c r="G2515" s="38" t="str">
        <f>HYPERLINK("http://enext.ua/s180005")</f>
        <v>http://enext.ua/s180005</v>
      </c>
    </row>
    <row r="2516" spans="2:7" ht="11.25" outlineLevel="5" x14ac:dyDescent="0.2">
      <c r="B2516" s="14" t="s">
        <v>4787</v>
      </c>
      <c r="C2516" s="14" t="s">
        <v>4788</v>
      </c>
      <c r="D2516" s="14">
        <v>5</v>
      </c>
      <c r="E2516" s="15">
        <v>314.93</v>
      </c>
      <c r="F2516" s="16" t="s">
        <v>8</v>
      </c>
      <c r="G2516" s="38" t="str">
        <f>HYPERLINK("http://enext.ua/s180002")</f>
        <v>http://enext.ua/s180002</v>
      </c>
    </row>
    <row r="2517" spans="2:7" ht="11.25" outlineLevel="5" x14ac:dyDescent="0.2">
      <c r="B2517" s="14" t="s">
        <v>4789</v>
      </c>
      <c r="C2517" s="14" t="s">
        <v>4790</v>
      </c>
      <c r="D2517" s="14">
        <v>10</v>
      </c>
      <c r="E2517" s="15">
        <v>593.30999999999995</v>
      </c>
      <c r="F2517" s="16" t="s">
        <v>8</v>
      </c>
      <c r="G2517" s="38" t="str">
        <f>HYPERLINK("http://enext.ua/s180006")</f>
        <v>http://enext.ua/s180006</v>
      </c>
    </row>
    <row r="2518" spans="2:7" ht="11.25" outlineLevel="5" x14ac:dyDescent="0.2">
      <c r="B2518" s="14" t="s">
        <v>4791</v>
      </c>
      <c r="C2518" s="14" t="s">
        <v>4792</v>
      </c>
      <c r="D2518" s="14">
        <v>5</v>
      </c>
      <c r="E2518" s="15">
        <v>467.23</v>
      </c>
      <c r="F2518" s="16" t="s">
        <v>8</v>
      </c>
      <c r="G2518" s="38" t="str">
        <f>HYPERLINK("http://enext.ua/s180003")</f>
        <v>http://enext.ua/s180003</v>
      </c>
    </row>
    <row r="2519" spans="2:7" ht="11.25" outlineLevel="5" x14ac:dyDescent="0.2">
      <c r="B2519" s="14" t="s">
        <v>4793</v>
      </c>
      <c r="C2519" s="14" t="s">
        <v>4794</v>
      </c>
      <c r="D2519" s="14">
        <v>5</v>
      </c>
      <c r="E2519" s="15">
        <v>829.31</v>
      </c>
      <c r="F2519" s="16" t="s">
        <v>8</v>
      </c>
      <c r="G2519" s="38" t="str">
        <f>HYPERLINK("http://enext.ua/s180007")</f>
        <v>http://enext.ua/s180007</v>
      </c>
    </row>
    <row r="2520" spans="2:7" ht="11.25" outlineLevel="5" x14ac:dyDescent="0.2">
      <c r="B2520" s="14" t="s">
        <v>4795</v>
      </c>
      <c r="C2520" s="14" t="s">
        <v>4796</v>
      </c>
      <c r="D2520" s="14">
        <v>1</v>
      </c>
      <c r="E2520" s="15">
        <v>677.2</v>
      </c>
      <c r="F2520" s="16" t="s">
        <v>8</v>
      </c>
      <c r="G2520" s="38" t="str">
        <f>HYPERLINK("http://enext.ua/s180004")</f>
        <v>http://enext.ua/s180004</v>
      </c>
    </row>
    <row r="2521" spans="2:7" ht="11.25" outlineLevel="5" x14ac:dyDescent="0.2">
      <c r="B2521" s="14" t="s">
        <v>4797</v>
      </c>
      <c r="C2521" s="14" t="s">
        <v>4798</v>
      </c>
      <c r="D2521" s="14">
        <v>10</v>
      </c>
      <c r="E2521" s="15">
        <v>877.84</v>
      </c>
      <c r="F2521" s="16" t="s">
        <v>8</v>
      </c>
      <c r="G2521" s="38" t="str">
        <f>HYPERLINK("http://enext.ua/s180008")</f>
        <v>http://enext.ua/s180008</v>
      </c>
    </row>
    <row r="2522" spans="2:7" ht="12" outlineLevel="3" x14ac:dyDescent="0.2">
      <c r="B2522" s="10"/>
      <c r="C2522" s="36" t="s">
        <v>4799</v>
      </c>
      <c r="D2522" s="10"/>
      <c r="E2522" s="11"/>
      <c r="F2522" s="11"/>
      <c r="G2522" s="10"/>
    </row>
    <row r="2523" spans="2:7" ht="11.25" outlineLevel="4" x14ac:dyDescent="0.2">
      <c r="B2523" s="14" t="s">
        <v>4800</v>
      </c>
      <c r="C2523" s="14" t="s">
        <v>4801</v>
      </c>
      <c r="D2523" s="14">
        <v>1</v>
      </c>
      <c r="E2523" s="15">
        <v>29.4</v>
      </c>
      <c r="F2523" s="16" t="s">
        <v>8</v>
      </c>
      <c r="G2523" s="38" t="str">
        <f>HYPERLINK("http://enext.ua/s2038008")</f>
        <v>http://enext.ua/s2038008</v>
      </c>
    </row>
    <row r="2524" spans="2:7" ht="11.25" outlineLevel="4" x14ac:dyDescent="0.2">
      <c r="B2524" s="14" t="s">
        <v>4802</v>
      </c>
      <c r="C2524" s="14" t="s">
        <v>4803</v>
      </c>
      <c r="D2524" s="14">
        <v>1</v>
      </c>
      <c r="E2524" s="15">
        <v>29.4</v>
      </c>
      <c r="F2524" s="16" t="s">
        <v>8</v>
      </c>
      <c r="G2524" s="38" t="str">
        <f>HYPERLINK("http://enext.ua/s2038010")</f>
        <v>http://enext.ua/s2038010</v>
      </c>
    </row>
    <row r="2525" spans="2:7" ht="11.25" outlineLevel="4" x14ac:dyDescent="0.2">
      <c r="B2525" s="14" t="s">
        <v>4804</v>
      </c>
      <c r="C2525" s="14" t="s">
        <v>4805</v>
      </c>
      <c r="D2525" s="14">
        <v>1</v>
      </c>
      <c r="E2525" s="15">
        <v>37.340000000000003</v>
      </c>
      <c r="F2525" s="16" t="s">
        <v>8</v>
      </c>
      <c r="G2525" s="38" t="str">
        <f>HYPERLINK("http://enext.ua/s2038001")</f>
        <v>http://enext.ua/s2038001</v>
      </c>
    </row>
    <row r="2526" spans="2:7" ht="11.25" outlineLevel="4" x14ac:dyDescent="0.2">
      <c r="B2526" s="14" t="s">
        <v>4806</v>
      </c>
      <c r="C2526" s="14" t="s">
        <v>4807</v>
      </c>
      <c r="D2526" s="14">
        <v>1</v>
      </c>
      <c r="E2526" s="15">
        <v>37.340000000000003</v>
      </c>
      <c r="F2526" s="16" t="s">
        <v>8</v>
      </c>
      <c r="G2526" s="38" t="str">
        <f>HYPERLINK("http://enext.ua/s2038011")</f>
        <v>http://enext.ua/s2038011</v>
      </c>
    </row>
    <row r="2527" spans="2:7" ht="11.25" outlineLevel="4" x14ac:dyDescent="0.2">
      <c r="B2527" s="14" t="s">
        <v>4808</v>
      </c>
      <c r="C2527" s="14" t="s">
        <v>4809</v>
      </c>
      <c r="D2527" s="14">
        <v>1</v>
      </c>
      <c r="E2527" s="15">
        <v>53.41</v>
      </c>
      <c r="F2527" s="16" t="s">
        <v>8</v>
      </c>
      <c r="G2527" s="38" t="str">
        <f>HYPERLINK("http://enext.ua/s2038002")</f>
        <v>http://enext.ua/s2038002</v>
      </c>
    </row>
    <row r="2528" spans="2:7" ht="11.25" outlineLevel="4" x14ac:dyDescent="0.2">
      <c r="B2528" s="14" t="s">
        <v>4810</v>
      </c>
      <c r="C2528" s="14" t="s">
        <v>4811</v>
      </c>
      <c r="D2528" s="14">
        <v>1</v>
      </c>
      <c r="E2528" s="15">
        <v>53.41</v>
      </c>
      <c r="F2528" s="16" t="s">
        <v>8</v>
      </c>
      <c r="G2528" s="38" t="str">
        <f>HYPERLINK("http://enext.ua/s2038012")</f>
        <v>http://enext.ua/s2038012</v>
      </c>
    </row>
    <row r="2529" spans="2:7" ht="11.25" outlineLevel="4" x14ac:dyDescent="0.2">
      <c r="B2529" s="14" t="s">
        <v>4812</v>
      </c>
      <c r="C2529" s="14" t="s">
        <v>4813</v>
      </c>
      <c r="D2529" s="14">
        <v>1</v>
      </c>
      <c r="E2529" s="15">
        <v>74.69</v>
      </c>
      <c r="F2529" s="16" t="s">
        <v>8</v>
      </c>
      <c r="G2529" s="38" t="str">
        <f>HYPERLINK("http://enext.ua/s2038003")</f>
        <v>http://enext.ua/s2038003</v>
      </c>
    </row>
    <row r="2530" spans="2:7" ht="11.25" outlineLevel="4" x14ac:dyDescent="0.2">
      <c r="B2530" s="14" t="s">
        <v>4814</v>
      </c>
      <c r="C2530" s="14" t="s">
        <v>4815</v>
      </c>
      <c r="D2530" s="14">
        <v>1</v>
      </c>
      <c r="E2530" s="15">
        <v>74.69</v>
      </c>
      <c r="F2530" s="16" t="s">
        <v>8</v>
      </c>
      <c r="G2530" s="38" t="str">
        <f>HYPERLINK("http://enext.ua/s2038013")</f>
        <v>http://enext.ua/s2038013</v>
      </c>
    </row>
    <row r="2531" spans="2:7" ht="11.25" outlineLevel="4" x14ac:dyDescent="0.2">
      <c r="B2531" s="14" t="s">
        <v>4816</v>
      </c>
      <c r="C2531" s="14" t="s">
        <v>4817</v>
      </c>
      <c r="D2531" s="14">
        <v>1</v>
      </c>
      <c r="E2531" s="15">
        <v>95.38</v>
      </c>
      <c r="F2531" s="16" t="s">
        <v>8</v>
      </c>
      <c r="G2531" s="38" t="str">
        <f>HYPERLINK("http://enext.ua/s2038004")</f>
        <v>http://enext.ua/s2038004</v>
      </c>
    </row>
    <row r="2532" spans="2:7" ht="11.25" outlineLevel="4" x14ac:dyDescent="0.2">
      <c r="B2532" s="14" t="s">
        <v>4818</v>
      </c>
      <c r="C2532" s="14" t="s">
        <v>4819</v>
      </c>
      <c r="D2532" s="14">
        <v>1</v>
      </c>
      <c r="E2532" s="15">
        <v>95.38</v>
      </c>
      <c r="F2532" s="16" t="s">
        <v>8</v>
      </c>
      <c r="G2532" s="38" t="str">
        <f>HYPERLINK("http://enext.ua/s2038014")</f>
        <v>http://enext.ua/s2038014</v>
      </c>
    </row>
    <row r="2533" spans="2:7" ht="11.25" outlineLevel="4" x14ac:dyDescent="0.2">
      <c r="B2533" s="14" t="s">
        <v>4820</v>
      </c>
      <c r="C2533" s="14" t="s">
        <v>4821</v>
      </c>
      <c r="D2533" s="14">
        <v>1</v>
      </c>
      <c r="E2533" s="15">
        <v>147.47</v>
      </c>
      <c r="F2533" s="16" t="s">
        <v>8</v>
      </c>
      <c r="G2533" s="38" t="str">
        <f>HYPERLINK("http://enext.ua/s2038005")</f>
        <v>http://enext.ua/s2038005</v>
      </c>
    </row>
    <row r="2534" spans="2:7" ht="11.25" outlineLevel="4" x14ac:dyDescent="0.2">
      <c r="B2534" s="14" t="s">
        <v>4822</v>
      </c>
      <c r="C2534" s="14" t="s">
        <v>4823</v>
      </c>
      <c r="D2534" s="14">
        <v>1</v>
      </c>
      <c r="E2534" s="15">
        <v>147.47</v>
      </c>
      <c r="F2534" s="16" t="s">
        <v>8</v>
      </c>
      <c r="G2534" s="38" t="str">
        <f>HYPERLINK("http://enext.ua/s2038015")</f>
        <v>http://enext.ua/s2038015</v>
      </c>
    </row>
    <row r="2535" spans="2:7" ht="11.25" outlineLevel="4" x14ac:dyDescent="0.2">
      <c r="B2535" s="14" t="s">
        <v>4824</v>
      </c>
      <c r="C2535" s="14" t="s">
        <v>4825</v>
      </c>
      <c r="D2535" s="14">
        <v>1</v>
      </c>
      <c r="E2535" s="15">
        <v>199.04</v>
      </c>
      <c r="F2535" s="16" t="s">
        <v>8</v>
      </c>
      <c r="G2535" s="38" t="str">
        <f>HYPERLINK("http://enext.ua/s2038006")</f>
        <v>http://enext.ua/s2038006</v>
      </c>
    </row>
    <row r="2536" spans="2:7" ht="11.25" outlineLevel="4" x14ac:dyDescent="0.2">
      <c r="B2536" s="14" t="s">
        <v>4826</v>
      </c>
      <c r="C2536" s="14" t="s">
        <v>4827</v>
      </c>
      <c r="D2536" s="14">
        <v>1</v>
      </c>
      <c r="E2536" s="15">
        <v>199.04</v>
      </c>
      <c r="F2536" s="16" t="s">
        <v>8</v>
      </c>
      <c r="G2536" s="38" t="str">
        <f>HYPERLINK("http://enext.ua/s2038016")</f>
        <v>http://enext.ua/s2038016</v>
      </c>
    </row>
    <row r="2537" spans="2:7" ht="11.25" outlineLevel="4" x14ac:dyDescent="0.2">
      <c r="B2537" s="14" t="s">
        <v>4828</v>
      </c>
      <c r="C2537" s="14" t="s">
        <v>4829</v>
      </c>
      <c r="D2537" s="14">
        <v>1</v>
      </c>
      <c r="E2537" s="15">
        <v>328.98</v>
      </c>
      <c r="F2537" s="16" t="s">
        <v>8</v>
      </c>
      <c r="G2537" s="38" t="str">
        <f>HYPERLINK("http://enext.ua/s2038007")</f>
        <v>http://enext.ua/s2038007</v>
      </c>
    </row>
    <row r="2538" spans="2:7" ht="11.25" outlineLevel="4" x14ac:dyDescent="0.2">
      <c r="B2538" s="14" t="s">
        <v>4830</v>
      </c>
      <c r="C2538" s="14" t="s">
        <v>4831</v>
      </c>
      <c r="D2538" s="14">
        <v>1</v>
      </c>
      <c r="E2538" s="15">
        <v>328.98</v>
      </c>
      <c r="F2538" s="16" t="s">
        <v>8</v>
      </c>
      <c r="G2538" s="38" t="str">
        <f>HYPERLINK("http://enext.ua/s2038017")</f>
        <v>http://enext.ua/s2038017</v>
      </c>
    </row>
    <row r="2539" spans="2:7" ht="11.25" outlineLevel="4" x14ac:dyDescent="0.2">
      <c r="B2539" s="14" t="s">
        <v>4832</v>
      </c>
      <c r="C2539" s="14" t="s">
        <v>4833</v>
      </c>
      <c r="D2539" s="14">
        <v>1</v>
      </c>
      <c r="E2539" s="15">
        <v>429.56</v>
      </c>
      <c r="F2539" s="16" t="s">
        <v>8</v>
      </c>
      <c r="G2539" s="38" t="str">
        <f>HYPERLINK("http://enext.ua/s2038009")</f>
        <v>http://enext.ua/s2038009</v>
      </c>
    </row>
    <row r="2540" spans="2:7" ht="11.25" outlineLevel="4" x14ac:dyDescent="0.2">
      <c r="B2540" s="14" t="s">
        <v>4834</v>
      </c>
      <c r="C2540" s="14" t="s">
        <v>4835</v>
      </c>
      <c r="D2540" s="14">
        <v>1</v>
      </c>
      <c r="E2540" s="15">
        <v>429.56</v>
      </c>
      <c r="F2540" s="16" t="s">
        <v>8</v>
      </c>
      <c r="G2540" s="38" t="str">
        <f>HYPERLINK("http://enext.ua/s2038018")</f>
        <v>http://enext.ua/s2038018</v>
      </c>
    </row>
    <row r="2541" spans="2:7" ht="12" outlineLevel="3" x14ac:dyDescent="0.2">
      <c r="B2541" s="10"/>
      <c r="C2541" s="36" t="s">
        <v>4836</v>
      </c>
      <c r="D2541" s="10"/>
      <c r="E2541" s="11"/>
      <c r="F2541" s="11"/>
      <c r="G2541" s="10"/>
    </row>
    <row r="2542" spans="2:7" ht="11.25" outlineLevel="4" x14ac:dyDescent="0.2">
      <c r="B2542" s="14" t="s">
        <v>4837</v>
      </c>
      <c r="C2542" s="14" t="s">
        <v>4838</v>
      </c>
      <c r="D2542" s="14">
        <v>1</v>
      </c>
      <c r="E2542" s="15">
        <v>42.48</v>
      </c>
      <c r="F2542" s="16" t="s">
        <v>1078</v>
      </c>
      <c r="G2542" s="38" t="str">
        <f>HYPERLINK("http://enext.ua/s2037031")</f>
        <v>http://enext.ua/s2037031</v>
      </c>
    </row>
    <row r="2543" spans="2:7" ht="11.25" outlineLevel="4" x14ac:dyDescent="0.2">
      <c r="B2543" s="14" t="s">
        <v>4839</v>
      </c>
      <c r="C2543" s="14" t="s">
        <v>4840</v>
      </c>
      <c r="D2543" s="14">
        <v>1</v>
      </c>
      <c r="E2543" s="15">
        <v>42.48</v>
      </c>
      <c r="F2543" s="16" t="s">
        <v>1078</v>
      </c>
      <c r="G2543" s="38" t="str">
        <f>HYPERLINK("http://enext.ua/s2037032")</f>
        <v>http://enext.ua/s2037032</v>
      </c>
    </row>
    <row r="2544" spans="2:7" ht="11.25" outlineLevel="4" x14ac:dyDescent="0.2">
      <c r="B2544" s="14" t="s">
        <v>4841</v>
      </c>
      <c r="C2544" s="14" t="s">
        <v>4842</v>
      </c>
      <c r="D2544" s="14">
        <v>1</v>
      </c>
      <c r="E2544" s="15">
        <v>42.48</v>
      </c>
      <c r="F2544" s="16" t="s">
        <v>1078</v>
      </c>
      <c r="G2544" s="38" t="str">
        <f>HYPERLINK("http://enext.ua/s2037033")</f>
        <v>http://enext.ua/s2037033</v>
      </c>
    </row>
    <row r="2545" spans="2:7" ht="11.25" outlineLevel="4" x14ac:dyDescent="0.2">
      <c r="B2545" s="14" t="s">
        <v>4843</v>
      </c>
      <c r="C2545" s="14" t="s">
        <v>4844</v>
      </c>
      <c r="D2545" s="14">
        <v>1</v>
      </c>
      <c r="E2545" s="15">
        <v>42.48</v>
      </c>
      <c r="F2545" s="16" t="s">
        <v>1078</v>
      </c>
      <c r="G2545" s="38" t="str">
        <f>HYPERLINK("http://enext.ua/s2037034")</f>
        <v>http://enext.ua/s2037034</v>
      </c>
    </row>
    <row r="2546" spans="2:7" ht="11.25" outlineLevel="4" x14ac:dyDescent="0.2">
      <c r="B2546" s="14" t="s">
        <v>4845</v>
      </c>
      <c r="C2546" s="14" t="s">
        <v>4846</v>
      </c>
      <c r="D2546" s="14">
        <v>1</v>
      </c>
      <c r="E2546" s="15">
        <v>42.48</v>
      </c>
      <c r="F2546" s="16" t="s">
        <v>1078</v>
      </c>
      <c r="G2546" s="38" t="str">
        <f>HYPERLINK("http://enext.ua/s2037035")</f>
        <v>http://enext.ua/s2037035</v>
      </c>
    </row>
    <row r="2547" spans="2:7" ht="11.25" outlineLevel="4" x14ac:dyDescent="0.2">
      <c r="B2547" s="14" t="s">
        <v>4847</v>
      </c>
      <c r="C2547" s="14" t="s">
        <v>4848</v>
      </c>
      <c r="D2547" s="14">
        <v>1</v>
      </c>
      <c r="E2547" s="15">
        <v>42.48</v>
      </c>
      <c r="F2547" s="16" t="s">
        <v>1078</v>
      </c>
      <c r="G2547" s="38" t="str">
        <f>HYPERLINK("http://enext.ua/s2037036")</f>
        <v>http://enext.ua/s2037036</v>
      </c>
    </row>
    <row r="2548" spans="2:7" ht="11.25" outlineLevel="4" x14ac:dyDescent="0.2">
      <c r="B2548" s="14" t="s">
        <v>4849</v>
      </c>
      <c r="C2548" s="14" t="s">
        <v>4850</v>
      </c>
      <c r="D2548" s="14">
        <v>1</v>
      </c>
      <c r="E2548" s="15">
        <v>42.48</v>
      </c>
      <c r="F2548" s="16" t="s">
        <v>1078</v>
      </c>
      <c r="G2548" s="38" t="str">
        <f>HYPERLINK("http://enext.ua/s2037037")</f>
        <v>http://enext.ua/s2037037</v>
      </c>
    </row>
    <row r="2549" spans="2:7" ht="11.25" outlineLevel="4" x14ac:dyDescent="0.2">
      <c r="B2549" s="14" t="s">
        <v>4851</v>
      </c>
      <c r="C2549" s="14" t="s">
        <v>4852</v>
      </c>
      <c r="D2549" s="14">
        <v>1</v>
      </c>
      <c r="E2549" s="15">
        <v>42.48</v>
      </c>
      <c r="F2549" s="16" t="s">
        <v>1078</v>
      </c>
      <c r="G2549" s="38" t="str">
        <f>HYPERLINK("http://enext.ua/s2037038")</f>
        <v>http://enext.ua/s2037038</v>
      </c>
    </row>
    <row r="2550" spans="2:7" ht="11.25" outlineLevel="4" x14ac:dyDescent="0.2">
      <c r="B2550" s="14" t="s">
        <v>4853</v>
      </c>
      <c r="C2550" s="14" t="s">
        <v>4854</v>
      </c>
      <c r="D2550" s="14">
        <v>1</v>
      </c>
      <c r="E2550" s="15">
        <v>42.48</v>
      </c>
      <c r="F2550" s="16" t="s">
        <v>1078</v>
      </c>
      <c r="G2550" s="38" t="str">
        <f>HYPERLINK("http://enext.ua/s2037039")</f>
        <v>http://enext.ua/s2037039</v>
      </c>
    </row>
    <row r="2551" spans="2:7" ht="11.25" outlineLevel="4" x14ac:dyDescent="0.2">
      <c r="B2551" s="14" t="s">
        <v>4855</v>
      </c>
      <c r="C2551" s="14" t="s">
        <v>4856</v>
      </c>
      <c r="D2551" s="14">
        <v>1</v>
      </c>
      <c r="E2551" s="15">
        <v>42.48</v>
      </c>
      <c r="F2551" s="16" t="s">
        <v>1078</v>
      </c>
      <c r="G2551" s="38" t="str">
        <f>HYPERLINK("http://enext.ua/s2037040")</f>
        <v>http://enext.ua/s2037040</v>
      </c>
    </row>
    <row r="2552" spans="2:7" ht="11.25" outlineLevel="4" x14ac:dyDescent="0.2">
      <c r="B2552" s="14" t="s">
        <v>4857</v>
      </c>
      <c r="C2552" s="14" t="s">
        <v>4858</v>
      </c>
      <c r="D2552" s="14">
        <v>1</v>
      </c>
      <c r="E2552" s="15">
        <v>42.48</v>
      </c>
      <c r="F2552" s="16" t="s">
        <v>1078</v>
      </c>
      <c r="G2552" s="38" t="str">
        <f>HYPERLINK("http://enext.ua/s2037041")</f>
        <v>http://enext.ua/s2037041</v>
      </c>
    </row>
    <row r="2553" spans="2:7" ht="11.25" outlineLevel="4" x14ac:dyDescent="0.2">
      <c r="B2553" s="14" t="s">
        <v>4859</v>
      </c>
      <c r="C2553" s="14" t="s">
        <v>4860</v>
      </c>
      <c r="D2553" s="14">
        <v>1</v>
      </c>
      <c r="E2553" s="15">
        <v>42.48</v>
      </c>
      <c r="F2553" s="16" t="s">
        <v>1078</v>
      </c>
      <c r="G2553" s="38" t="str">
        <f>HYPERLINK("http://enext.ua/s2037042")</f>
        <v>http://enext.ua/s2037042</v>
      </c>
    </row>
    <row r="2554" spans="2:7" ht="11.25" outlineLevel="4" x14ac:dyDescent="0.2">
      <c r="B2554" s="14" t="s">
        <v>4861</v>
      </c>
      <c r="C2554" s="14" t="s">
        <v>4862</v>
      </c>
      <c r="D2554" s="14">
        <v>1</v>
      </c>
      <c r="E2554" s="15">
        <v>42.48</v>
      </c>
      <c r="F2554" s="16" t="s">
        <v>1078</v>
      </c>
      <c r="G2554" s="38" t="str">
        <f>HYPERLINK("http://enext.ua/s2037043")</f>
        <v>http://enext.ua/s2037043</v>
      </c>
    </row>
    <row r="2555" spans="2:7" ht="11.25" outlineLevel="4" x14ac:dyDescent="0.2">
      <c r="B2555" s="14" t="s">
        <v>4863</v>
      </c>
      <c r="C2555" s="14" t="s">
        <v>4864</v>
      </c>
      <c r="D2555" s="14">
        <v>1</v>
      </c>
      <c r="E2555" s="15">
        <v>42.48</v>
      </c>
      <c r="F2555" s="16" t="s">
        <v>1078</v>
      </c>
      <c r="G2555" s="38" t="str">
        <f>HYPERLINK("http://enext.ua/s2037044")</f>
        <v>http://enext.ua/s2037044</v>
      </c>
    </row>
    <row r="2556" spans="2:7" ht="11.25" outlineLevel="4" x14ac:dyDescent="0.2">
      <c r="B2556" s="14" t="s">
        <v>4865</v>
      </c>
      <c r="C2556" s="14" t="s">
        <v>4866</v>
      </c>
      <c r="D2556" s="14">
        <v>1</v>
      </c>
      <c r="E2556" s="15">
        <v>42.48</v>
      </c>
      <c r="F2556" s="16" t="s">
        <v>1078</v>
      </c>
      <c r="G2556" s="38" t="str">
        <f>HYPERLINK("http://enext.ua/s2037045")</f>
        <v>http://enext.ua/s2037045</v>
      </c>
    </row>
    <row r="2557" spans="2:7" ht="11.25" outlineLevel="4" x14ac:dyDescent="0.2">
      <c r="B2557" s="14" t="s">
        <v>4867</v>
      </c>
      <c r="C2557" s="14" t="s">
        <v>4868</v>
      </c>
      <c r="D2557" s="14">
        <v>1</v>
      </c>
      <c r="E2557" s="15">
        <v>42.48</v>
      </c>
      <c r="F2557" s="16" t="s">
        <v>1078</v>
      </c>
      <c r="G2557" s="38" t="str">
        <f>HYPERLINK("http://enext.ua/s2037046")</f>
        <v>http://enext.ua/s2037046</v>
      </c>
    </row>
    <row r="2558" spans="2:7" ht="11.25" outlineLevel="4" x14ac:dyDescent="0.2">
      <c r="B2558" s="14" t="s">
        <v>4869</v>
      </c>
      <c r="C2558" s="14" t="s">
        <v>4870</v>
      </c>
      <c r="D2558" s="14">
        <v>1</v>
      </c>
      <c r="E2558" s="15">
        <v>42.48</v>
      </c>
      <c r="F2558" s="16" t="s">
        <v>1078</v>
      </c>
      <c r="G2558" s="38" t="str">
        <f>HYPERLINK("http://enext.ua/s2037047")</f>
        <v>http://enext.ua/s2037047</v>
      </c>
    </row>
    <row r="2559" spans="2:7" ht="11.25" outlineLevel="4" x14ac:dyDescent="0.2">
      <c r="B2559" s="14" t="s">
        <v>4871</v>
      </c>
      <c r="C2559" s="14" t="s">
        <v>4872</v>
      </c>
      <c r="D2559" s="14">
        <v>1</v>
      </c>
      <c r="E2559" s="15">
        <v>42.48</v>
      </c>
      <c r="F2559" s="16" t="s">
        <v>1078</v>
      </c>
      <c r="G2559" s="38" t="str">
        <f>HYPERLINK("http://enext.ua/s2037048")</f>
        <v>http://enext.ua/s2037048</v>
      </c>
    </row>
    <row r="2560" spans="2:7" ht="11.25" outlineLevel="4" x14ac:dyDescent="0.2">
      <c r="B2560" s="14" t="s">
        <v>4873</v>
      </c>
      <c r="C2560" s="14" t="s">
        <v>4874</v>
      </c>
      <c r="D2560" s="14">
        <v>1</v>
      </c>
      <c r="E2560" s="15">
        <v>42.48</v>
      </c>
      <c r="F2560" s="16" t="s">
        <v>1078</v>
      </c>
      <c r="G2560" s="38" t="str">
        <f>HYPERLINK("http://enext.ua/s2037049")</f>
        <v>http://enext.ua/s2037049</v>
      </c>
    </row>
    <row r="2561" spans="2:7" ht="11.25" outlineLevel="4" x14ac:dyDescent="0.2">
      <c r="B2561" s="14" t="s">
        <v>4875</v>
      </c>
      <c r="C2561" s="14" t="s">
        <v>4876</v>
      </c>
      <c r="D2561" s="14">
        <v>1</v>
      </c>
      <c r="E2561" s="15">
        <v>42.48</v>
      </c>
      <c r="F2561" s="16" t="s">
        <v>1078</v>
      </c>
      <c r="G2561" s="38" t="str">
        <f>HYPERLINK("http://enext.ua/s2037050")</f>
        <v>http://enext.ua/s2037050</v>
      </c>
    </row>
    <row r="2562" spans="2:7" ht="11.25" outlineLevel="4" x14ac:dyDescent="0.2">
      <c r="B2562" s="14" t="s">
        <v>4877</v>
      </c>
      <c r="C2562" s="14" t="s">
        <v>4878</v>
      </c>
      <c r="D2562" s="14">
        <v>1</v>
      </c>
      <c r="E2562" s="15">
        <v>42.48</v>
      </c>
      <c r="F2562" s="16" t="s">
        <v>1078</v>
      </c>
      <c r="G2562" s="38" t="str">
        <f>HYPERLINK("http://enext.ua/s2037051")</f>
        <v>http://enext.ua/s2037051</v>
      </c>
    </row>
    <row r="2563" spans="2:7" ht="11.25" outlineLevel="4" x14ac:dyDescent="0.2">
      <c r="B2563" s="14" t="s">
        <v>4879</v>
      </c>
      <c r="C2563" s="14" t="s">
        <v>4880</v>
      </c>
      <c r="D2563" s="14">
        <v>1</v>
      </c>
      <c r="E2563" s="15">
        <v>42.48</v>
      </c>
      <c r="F2563" s="16" t="s">
        <v>1078</v>
      </c>
      <c r="G2563" s="38" t="str">
        <f>HYPERLINK("http://enext.ua/s2037052")</f>
        <v>http://enext.ua/s2037052</v>
      </c>
    </row>
    <row r="2564" spans="2:7" ht="11.25" outlineLevel="4" x14ac:dyDescent="0.2">
      <c r="B2564" s="14" t="s">
        <v>4881</v>
      </c>
      <c r="C2564" s="14" t="s">
        <v>4882</v>
      </c>
      <c r="D2564" s="14">
        <v>1</v>
      </c>
      <c r="E2564" s="15">
        <v>42.48</v>
      </c>
      <c r="F2564" s="16" t="s">
        <v>1078</v>
      </c>
      <c r="G2564" s="38" t="str">
        <f>HYPERLINK("http://enext.ua/s2037053")</f>
        <v>http://enext.ua/s2037053</v>
      </c>
    </row>
    <row r="2565" spans="2:7" ht="11.25" outlineLevel="4" x14ac:dyDescent="0.2">
      <c r="B2565" s="14" t="s">
        <v>4883</v>
      </c>
      <c r="C2565" s="14" t="s">
        <v>4884</v>
      </c>
      <c r="D2565" s="14">
        <v>1</v>
      </c>
      <c r="E2565" s="15">
        <v>42.48</v>
      </c>
      <c r="F2565" s="16" t="s">
        <v>1078</v>
      </c>
      <c r="G2565" s="38" t="str">
        <f>HYPERLINK("http://enext.ua/s2037054")</f>
        <v>http://enext.ua/s2037054</v>
      </c>
    </row>
    <row r="2566" spans="2:7" ht="11.25" outlineLevel="4" x14ac:dyDescent="0.2">
      <c r="B2566" s="14" t="s">
        <v>4885</v>
      </c>
      <c r="C2566" s="14" t="s">
        <v>4886</v>
      </c>
      <c r="D2566" s="14">
        <v>1</v>
      </c>
      <c r="E2566" s="15">
        <v>42.48</v>
      </c>
      <c r="F2566" s="16" t="s">
        <v>1078</v>
      </c>
      <c r="G2566" s="38" t="str">
        <f>HYPERLINK("http://enext.ua/s2037055")</f>
        <v>http://enext.ua/s2037055</v>
      </c>
    </row>
    <row r="2567" spans="2:7" ht="11.25" outlineLevel="4" x14ac:dyDescent="0.2">
      <c r="B2567" s="14" t="s">
        <v>4887</v>
      </c>
      <c r="C2567" s="14" t="s">
        <v>4888</v>
      </c>
      <c r="D2567" s="14">
        <v>1</v>
      </c>
      <c r="E2567" s="15">
        <v>42.48</v>
      </c>
      <c r="F2567" s="16" t="s">
        <v>1078</v>
      </c>
      <c r="G2567" s="38" t="str">
        <f>HYPERLINK("http://enext.ua/s2037056")</f>
        <v>http://enext.ua/s2037056</v>
      </c>
    </row>
    <row r="2568" spans="2:7" ht="11.25" outlineLevel="4" x14ac:dyDescent="0.2">
      <c r="B2568" s="14" t="s">
        <v>4889</v>
      </c>
      <c r="C2568" s="14" t="s">
        <v>4890</v>
      </c>
      <c r="D2568" s="14">
        <v>1</v>
      </c>
      <c r="E2568" s="15">
        <v>42.48</v>
      </c>
      <c r="F2568" s="16" t="s">
        <v>1078</v>
      </c>
      <c r="G2568" s="38" t="str">
        <f>HYPERLINK("http://enext.ua/s2037057")</f>
        <v>http://enext.ua/s2037057</v>
      </c>
    </row>
    <row r="2569" spans="2:7" ht="11.25" outlineLevel="4" x14ac:dyDescent="0.2">
      <c r="B2569" s="14" t="s">
        <v>4891</v>
      </c>
      <c r="C2569" s="14" t="s">
        <v>4892</v>
      </c>
      <c r="D2569" s="14">
        <v>1</v>
      </c>
      <c r="E2569" s="15">
        <v>42.48</v>
      </c>
      <c r="F2569" s="16" t="s">
        <v>1078</v>
      </c>
      <c r="G2569" s="38" t="str">
        <f>HYPERLINK("http://enext.ua/s2037058")</f>
        <v>http://enext.ua/s2037058</v>
      </c>
    </row>
    <row r="2570" spans="2:7" ht="11.25" outlineLevel="4" x14ac:dyDescent="0.2">
      <c r="B2570" s="14" t="s">
        <v>4893</v>
      </c>
      <c r="C2570" s="14" t="s">
        <v>4894</v>
      </c>
      <c r="D2570" s="14">
        <v>1</v>
      </c>
      <c r="E2570" s="15">
        <v>42.48</v>
      </c>
      <c r="F2570" s="16" t="s">
        <v>1078</v>
      </c>
      <c r="G2570" s="38" t="str">
        <f>HYPERLINK("http://enext.ua/s2037059")</f>
        <v>http://enext.ua/s2037059</v>
      </c>
    </row>
    <row r="2571" spans="2:7" ht="11.25" outlineLevel="4" x14ac:dyDescent="0.2">
      <c r="B2571" s="14" t="s">
        <v>4895</v>
      </c>
      <c r="C2571" s="14" t="s">
        <v>4896</v>
      </c>
      <c r="D2571" s="14">
        <v>1</v>
      </c>
      <c r="E2571" s="15">
        <v>42.48</v>
      </c>
      <c r="F2571" s="16" t="s">
        <v>1078</v>
      </c>
      <c r="G2571" s="38" t="str">
        <f>HYPERLINK("http://enext.ua/s2037060")</f>
        <v>http://enext.ua/s2037060</v>
      </c>
    </row>
    <row r="2572" spans="2:7" ht="11.25" outlineLevel="4" x14ac:dyDescent="0.2">
      <c r="B2572" s="14" t="s">
        <v>4897</v>
      </c>
      <c r="C2572" s="14" t="s">
        <v>4898</v>
      </c>
      <c r="D2572" s="14">
        <v>1</v>
      </c>
      <c r="E2572" s="15">
        <v>42.48</v>
      </c>
      <c r="F2572" s="16" t="s">
        <v>1078</v>
      </c>
      <c r="G2572" s="38" t="str">
        <f>HYPERLINK("http://enext.ua/s2037061")</f>
        <v>http://enext.ua/s2037061</v>
      </c>
    </row>
    <row r="2573" spans="2:7" ht="11.25" outlineLevel="4" x14ac:dyDescent="0.2">
      <c r="B2573" s="14" t="s">
        <v>4899</v>
      </c>
      <c r="C2573" s="14" t="s">
        <v>4900</v>
      </c>
      <c r="D2573" s="14">
        <v>1</v>
      </c>
      <c r="E2573" s="15">
        <v>42.48</v>
      </c>
      <c r="F2573" s="16" t="s">
        <v>1078</v>
      </c>
      <c r="G2573" s="38" t="str">
        <f>HYPERLINK("http://enext.ua/s2037062")</f>
        <v>http://enext.ua/s2037062</v>
      </c>
    </row>
    <row r="2574" spans="2:7" ht="11.25" outlineLevel="4" x14ac:dyDescent="0.2">
      <c r="B2574" s="14" t="s">
        <v>4901</v>
      </c>
      <c r="C2574" s="14" t="s">
        <v>4902</v>
      </c>
      <c r="D2574" s="14">
        <v>1</v>
      </c>
      <c r="E2574" s="15">
        <v>42.48</v>
      </c>
      <c r="F2574" s="16" t="s">
        <v>1078</v>
      </c>
      <c r="G2574" s="38" t="str">
        <f>HYPERLINK("http://enext.ua/s2037063")</f>
        <v>http://enext.ua/s2037063</v>
      </c>
    </row>
    <row r="2575" spans="2:7" ht="11.25" outlineLevel="4" x14ac:dyDescent="0.2">
      <c r="B2575" s="14" t="s">
        <v>4903</v>
      </c>
      <c r="C2575" s="14" t="s">
        <v>4904</v>
      </c>
      <c r="D2575" s="14">
        <v>1</v>
      </c>
      <c r="E2575" s="15">
        <v>42.48</v>
      </c>
      <c r="F2575" s="16" t="s">
        <v>1078</v>
      </c>
      <c r="G2575" s="38" t="str">
        <f>HYPERLINK("http://enext.ua/s2037064")</f>
        <v>http://enext.ua/s2037064</v>
      </c>
    </row>
    <row r="2576" spans="2:7" ht="11.25" outlineLevel="4" x14ac:dyDescent="0.2">
      <c r="B2576" s="14" t="s">
        <v>4905</v>
      </c>
      <c r="C2576" s="14" t="s">
        <v>4906</v>
      </c>
      <c r="D2576" s="14">
        <v>1</v>
      </c>
      <c r="E2576" s="15">
        <v>42.48</v>
      </c>
      <c r="F2576" s="16" t="s">
        <v>1078</v>
      </c>
      <c r="G2576" s="38" t="str">
        <f>HYPERLINK("http://enext.ua/s2037065")</f>
        <v>http://enext.ua/s2037065</v>
      </c>
    </row>
    <row r="2577" spans="2:7" ht="11.25" outlineLevel="4" x14ac:dyDescent="0.2">
      <c r="B2577" s="14" t="s">
        <v>4907</v>
      </c>
      <c r="C2577" s="14" t="s">
        <v>4908</v>
      </c>
      <c r="D2577" s="14">
        <v>1</v>
      </c>
      <c r="E2577" s="15">
        <v>42.48</v>
      </c>
      <c r="F2577" s="16" t="s">
        <v>1078</v>
      </c>
      <c r="G2577" s="38" t="str">
        <f>HYPERLINK("http://enext.ua/s2037066")</f>
        <v>http://enext.ua/s2037066</v>
      </c>
    </row>
    <row r="2578" spans="2:7" ht="11.25" outlineLevel="4" x14ac:dyDescent="0.2">
      <c r="B2578" s="14" t="s">
        <v>4909</v>
      </c>
      <c r="C2578" s="14" t="s">
        <v>4910</v>
      </c>
      <c r="D2578" s="14">
        <v>1</v>
      </c>
      <c r="E2578" s="15">
        <v>42.48</v>
      </c>
      <c r="F2578" s="16" t="s">
        <v>1078</v>
      </c>
      <c r="G2578" s="38" t="str">
        <f>HYPERLINK("http://enext.ua/s2037067")</f>
        <v>http://enext.ua/s2037067</v>
      </c>
    </row>
    <row r="2579" spans="2:7" ht="11.25" outlineLevel="4" x14ac:dyDescent="0.2">
      <c r="B2579" s="14" t="s">
        <v>4911</v>
      </c>
      <c r="C2579" s="14" t="s">
        <v>4912</v>
      </c>
      <c r="D2579" s="14">
        <v>1</v>
      </c>
      <c r="E2579" s="15">
        <v>42.48</v>
      </c>
      <c r="F2579" s="16" t="s">
        <v>1078</v>
      </c>
      <c r="G2579" s="38" t="str">
        <f>HYPERLINK("http://enext.ua/s2037068")</f>
        <v>http://enext.ua/s2037068</v>
      </c>
    </row>
    <row r="2580" spans="2:7" ht="11.25" outlineLevel="4" x14ac:dyDescent="0.2">
      <c r="B2580" s="14" t="s">
        <v>4913</v>
      </c>
      <c r="C2580" s="14" t="s">
        <v>4914</v>
      </c>
      <c r="D2580" s="14">
        <v>1</v>
      </c>
      <c r="E2580" s="15">
        <v>42.48</v>
      </c>
      <c r="F2580" s="16" t="s">
        <v>1078</v>
      </c>
      <c r="G2580" s="38" t="str">
        <f>HYPERLINK("http://enext.ua/s2037069")</f>
        <v>http://enext.ua/s2037069</v>
      </c>
    </row>
    <row r="2581" spans="2:7" ht="11.25" outlineLevel="4" x14ac:dyDescent="0.2">
      <c r="B2581" s="14" t="s">
        <v>4915</v>
      </c>
      <c r="C2581" s="14" t="s">
        <v>4916</v>
      </c>
      <c r="D2581" s="14">
        <v>1</v>
      </c>
      <c r="E2581" s="15">
        <v>42.48</v>
      </c>
      <c r="F2581" s="16" t="s">
        <v>1078</v>
      </c>
      <c r="G2581" s="38" t="str">
        <f>HYPERLINK("http://enext.ua/s2037070")</f>
        <v>http://enext.ua/s2037070</v>
      </c>
    </row>
    <row r="2582" spans="2:7" ht="11.25" outlineLevel="4" x14ac:dyDescent="0.2">
      <c r="B2582" s="14" t="s">
        <v>4917</v>
      </c>
      <c r="C2582" s="14" t="s">
        <v>4918</v>
      </c>
      <c r="D2582" s="14">
        <v>1</v>
      </c>
      <c r="E2582" s="15">
        <v>42.48</v>
      </c>
      <c r="F2582" s="16" t="s">
        <v>1078</v>
      </c>
      <c r="G2582" s="38" t="str">
        <f>HYPERLINK("http://enext.ua/s2037071")</f>
        <v>http://enext.ua/s2037071</v>
      </c>
    </row>
    <row r="2583" spans="2:7" ht="11.25" outlineLevel="4" x14ac:dyDescent="0.2">
      <c r="B2583" s="14" t="s">
        <v>4919</v>
      </c>
      <c r="C2583" s="14" t="s">
        <v>4920</v>
      </c>
      <c r="D2583" s="14">
        <v>1</v>
      </c>
      <c r="E2583" s="15">
        <v>42.48</v>
      </c>
      <c r="F2583" s="16" t="s">
        <v>1078</v>
      </c>
      <c r="G2583" s="38" t="str">
        <f>HYPERLINK("http://enext.ua/s2037072")</f>
        <v>http://enext.ua/s2037072</v>
      </c>
    </row>
    <row r="2584" spans="2:7" ht="11.25" outlineLevel="4" x14ac:dyDescent="0.2">
      <c r="B2584" s="14" t="s">
        <v>4921</v>
      </c>
      <c r="C2584" s="14" t="s">
        <v>4922</v>
      </c>
      <c r="D2584" s="14">
        <v>1</v>
      </c>
      <c r="E2584" s="15">
        <v>42.48</v>
      </c>
      <c r="F2584" s="16" t="s">
        <v>1111</v>
      </c>
      <c r="G2584" s="38" t="str">
        <f>HYPERLINK("http://enext.ua/s2037011")</f>
        <v>http://enext.ua/s2037011</v>
      </c>
    </row>
    <row r="2585" spans="2:7" ht="11.25" outlineLevel="4" x14ac:dyDescent="0.2">
      <c r="B2585" s="14" t="s">
        <v>4923</v>
      </c>
      <c r="C2585" s="14" t="s">
        <v>4924</v>
      </c>
      <c r="D2585" s="14">
        <v>1</v>
      </c>
      <c r="E2585" s="15">
        <v>42.48</v>
      </c>
      <c r="F2585" s="16" t="s">
        <v>1078</v>
      </c>
      <c r="G2585" s="38" t="str">
        <f>HYPERLINK("http://enext.ua/s2037073")</f>
        <v>http://enext.ua/s2037073</v>
      </c>
    </row>
    <row r="2586" spans="2:7" ht="11.25" outlineLevel="4" x14ac:dyDescent="0.2">
      <c r="B2586" s="14" t="s">
        <v>4925</v>
      </c>
      <c r="C2586" s="14" t="s">
        <v>4926</v>
      </c>
      <c r="D2586" s="14">
        <v>1</v>
      </c>
      <c r="E2586" s="15">
        <v>42.48</v>
      </c>
      <c r="F2586" s="16" t="s">
        <v>1078</v>
      </c>
      <c r="G2586" s="38" t="str">
        <f>HYPERLINK("http://enext.ua/s2037074")</f>
        <v>http://enext.ua/s2037074</v>
      </c>
    </row>
    <row r="2587" spans="2:7" ht="11.25" outlineLevel="4" x14ac:dyDescent="0.2">
      <c r="B2587" s="14" t="s">
        <v>4927</v>
      </c>
      <c r="C2587" s="14" t="s">
        <v>4928</v>
      </c>
      <c r="D2587" s="14">
        <v>1</v>
      </c>
      <c r="E2587" s="15">
        <v>42.48</v>
      </c>
      <c r="F2587" s="16" t="s">
        <v>1078</v>
      </c>
      <c r="G2587" s="38" t="str">
        <f>HYPERLINK("http://enext.ua/s2037075")</f>
        <v>http://enext.ua/s2037075</v>
      </c>
    </row>
    <row r="2588" spans="2:7" ht="11.25" outlineLevel="4" x14ac:dyDescent="0.2">
      <c r="B2588" s="14" t="s">
        <v>4929</v>
      </c>
      <c r="C2588" s="14" t="s">
        <v>4930</v>
      </c>
      <c r="D2588" s="14">
        <v>1</v>
      </c>
      <c r="E2588" s="15">
        <v>42.48</v>
      </c>
      <c r="F2588" s="16" t="s">
        <v>1078</v>
      </c>
      <c r="G2588" s="38" t="str">
        <f>HYPERLINK("http://enext.ua/s2037076")</f>
        <v>http://enext.ua/s2037076</v>
      </c>
    </row>
    <row r="2589" spans="2:7" ht="11.25" outlineLevel="4" x14ac:dyDescent="0.2">
      <c r="B2589" s="14" t="s">
        <v>4931</v>
      </c>
      <c r="C2589" s="14" t="s">
        <v>4932</v>
      </c>
      <c r="D2589" s="14">
        <v>1</v>
      </c>
      <c r="E2589" s="15">
        <v>42.48</v>
      </c>
      <c r="F2589" s="16" t="s">
        <v>1078</v>
      </c>
      <c r="G2589" s="38" t="str">
        <f>HYPERLINK("http://enext.ua/s2037077")</f>
        <v>http://enext.ua/s2037077</v>
      </c>
    </row>
    <row r="2590" spans="2:7" ht="11.25" outlineLevel="4" x14ac:dyDescent="0.2">
      <c r="B2590" s="14" t="s">
        <v>4933</v>
      </c>
      <c r="C2590" s="14" t="s">
        <v>4934</v>
      </c>
      <c r="D2590" s="14">
        <v>1</v>
      </c>
      <c r="E2590" s="15">
        <v>42.48</v>
      </c>
      <c r="F2590" s="16" t="s">
        <v>1078</v>
      </c>
      <c r="G2590" s="38" t="str">
        <f>HYPERLINK("http://enext.ua/s2037078")</f>
        <v>http://enext.ua/s2037078</v>
      </c>
    </row>
    <row r="2591" spans="2:7" ht="11.25" outlineLevel="4" x14ac:dyDescent="0.2">
      <c r="B2591" s="14" t="s">
        <v>4935</v>
      </c>
      <c r="C2591" s="14" t="s">
        <v>4936</v>
      </c>
      <c r="D2591" s="14">
        <v>1</v>
      </c>
      <c r="E2591" s="15">
        <v>42.48</v>
      </c>
      <c r="F2591" s="16" t="s">
        <v>1078</v>
      </c>
      <c r="G2591" s="38" t="str">
        <f>HYPERLINK("http://enext.ua/s2037079")</f>
        <v>http://enext.ua/s2037079</v>
      </c>
    </row>
    <row r="2592" spans="2:7" ht="11.25" outlineLevel="4" x14ac:dyDescent="0.2">
      <c r="B2592" s="14" t="s">
        <v>4937</v>
      </c>
      <c r="C2592" s="14" t="s">
        <v>4938</v>
      </c>
      <c r="D2592" s="14">
        <v>1</v>
      </c>
      <c r="E2592" s="15">
        <v>42.48</v>
      </c>
      <c r="F2592" s="16" t="s">
        <v>1078</v>
      </c>
      <c r="G2592" s="38" t="str">
        <f>HYPERLINK("http://enext.ua/s2037080")</f>
        <v>http://enext.ua/s2037080</v>
      </c>
    </row>
    <row r="2593" spans="2:7" ht="11.25" outlineLevel="4" x14ac:dyDescent="0.2">
      <c r="B2593" s="14" t="s">
        <v>4939</v>
      </c>
      <c r="C2593" s="14" t="s">
        <v>4940</v>
      </c>
      <c r="D2593" s="14">
        <v>1</v>
      </c>
      <c r="E2593" s="15">
        <v>42.48</v>
      </c>
      <c r="F2593" s="16" t="s">
        <v>1078</v>
      </c>
      <c r="G2593" s="38" t="str">
        <f>HYPERLINK("http://enext.ua/s2037081")</f>
        <v>http://enext.ua/s2037081</v>
      </c>
    </row>
    <row r="2594" spans="2:7" ht="11.25" outlineLevel="4" x14ac:dyDescent="0.2">
      <c r="B2594" s="14" t="s">
        <v>4941</v>
      </c>
      <c r="C2594" s="14" t="s">
        <v>4942</v>
      </c>
      <c r="D2594" s="14">
        <v>1</v>
      </c>
      <c r="E2594" s="15">
        <v>42.48</v>
      </c>
      <c r="F2594" s="16" t="s">
        <v>1078</v>
      </c>
      <c r="G2594" s="38" t="str">
        <f>HYPERLINK("http://enext.ua/s2037082")</f>
        <v>http://enext.ua/s2037082</v>
      </c>
    </row>
    <row r="2595" spans="2:7" ht="11.25" outlineLevel="4" x14ac:dyDescent="0.2">
      <c r="B2595" s="14" t="s">
        <v>4943</v>
      </c>
      <c r="C2595" s="14" t="s">
        <v>4944</v>
      </c>
      <c r="D2595" s="14">
        <v>1</v>
      </c>
      <c r="E2595" s="15">
        <v>42.48</v>
      </c>
      <c r="F2595" s="16" t="s">
        <v>1078</v>
      </c>
      <c r="G2595" s="38" t="str">
        <f>HYPERLINK("http://enext.ua/s2037083")</f>
        <v>http://enext.ua/s2037083</v>
      </c>
    </row>
    <row r="2596" spans="2:7" ht="11.25" outlineLevel="4" x14ac:dyDescent="0.2">
      <c r="B2596" s="14" t="s">
        <v>4945</v>
      </c>
      <c r="C2596" s="14" t="s">
        <v>4946</v>
      </c>
      <c r="D2596" s="14">
        <v>1</v>
      </c>
      <c r="E2596" s="15">
        <v>42.48</v>
      </c>
      <c r="F2596" s="16" t="s">
        <v>1078</v>
      </c>
      <c r="G2596" s="38" t="str">
        <f>HYPERLINK("http://enext.ua/s2037084")</f>
        <v>http://enext.ua/s2037084</v>
      </c>
    </row>
    <row r="2597" spans="2:7" ht="11.25" outlineLevel="4" x14ac:dyDescent="0.2">
      <c r="B2597" s="14" t="s">
        <v>4947</v>
      </c>
      <c r="C2597" s="14" t="s">
        <v>4948</v>
      </c>
      <c r="D2597" s="14">
        <v>1</v>
      </c>
      <c r="E2597" s="15">
        <v>42.48</v>
      </c>
      <c r="F2597" s="16" t="s">
        <v>1078</v>
      </c>
      <c r="G2597" s="38" t="str">
        <f>HYPERLINK("http://enext.ua/s2037085")</f>
        <v>http://enext.ua/s2037085</v>
      </c>
    </row>
    <row r="2598" spans="2:7" ht="11.25" outlineLevel="4" x14ac:dyDescent="0.2">
      <c r="B2598" s="14" t="s">
        <v>4949</v>
      </c>
      <c r="C2598" s="14" t="s">
        <v>4950</v>
      </c>
      <c r="D2598" s="14">
        <v>1</v>
      </c>
      <c r="E2598" s="15">
        <v>42.48</v>
      </c>
      <c r="F2598" s="16" t="s">
        <v>1078</v>
      </c>
      <c r="G2598" s="38" t="str">
        <f>HYPERLINK("http://enext.ua/s2037086")</f>
        <v>http://enext.ua/s2037086</v>
      </c>
    </row>
    <row r="2599" spans="2:7" ht="12" outlineLevel="3" x14ac:dyDescent="0.2">
      <c r="B2599" s="10"/>
      <c r="C2599" s="36" t="s">
        <v>4951</v>
      </c>
      <c r="D2599" s="10"/>
      <c r="E2599" s="11"/>
      <c r="F2599" s="11"/>
      <c r="G2599" s="10"/>
    </row>
    <row r="2600" spans="2:7" ht="11.25" outlineLevel="4" x14ac:dyDescent="0.2">
      <c r="B2600" s="14" t="s">
        <v>4952</v>
      </c>
      <c r="C2600" s="14" t="s">
        <v>4953</v>
      </c>
      <c r="D2600" s="14">
        <v>1</v>
      </c>
      <c r="E2600" s="15">
        <v>43.6</v>
      </c>
      <c r="F2600" s="16" t="s">
        <v>4092</v>
      </c>
      <c r="G2600" s="14"/>
    </row>
    <row r="2601" spans="2:7" ht="12" outlineLevel="2" x14ac:dyDescent="0.2">
      <c r="B2601" s="8"/>
      <c r="C2601" s="35" t="s">
        <v>4954</v>
      </c>
      <c r="D2601" s="8"/>
      <c r="E2601" s="9"/>
      <c r="F2601" s="9"/>
      <c r="G2601" s="8"/>
    </row>
    <row r="2602" spans="2:7" ht="12" outlineLevel="3" x14ac:dyDescent="0.2">
      <c r="B2602" s="10"/>
      <c r="C2602" s="36" t="s">
        <v>4955</v>
      </c>
      <c r="D2602" s="10"/>
      <c r="E2602" s="11"/>
      <c r="F2602" s="11"/>
      <c r="G2602" s="10"/>
    </row>
    <row r="2603" spans="2:7" ht="11.25" outlineLevel="4" x14ac:dyDescent="0.2">
      <c r="B2603" s="14" t="s">
        <v>4956</v>
      </c>
      <c r="C2603" s="14" t="s">
        <v>4957</v>
      </c>
      <c r="D2603" s="14">
        <v>1</v>
      </c>
      <c r="E2603" s="15">
        <v>14.23</v>
      </c>
      <c r="F2603" s="16" t="s">
        <v>4092</v>
      </c>
      <c r="G2603" s="38" t="str">
        <f>HYPERLINK("http://enext.ua/s014001")</f>
        <v>http://enext.ua/s014001</v>
      </c>
    </row>
    <row r="2604" spans="2:7" ht="11.25" outlineLevel="4" x14ac:dyDescent="0.2">
      <c r="B2604" s="14" t="s">
        <v>4958</v>
      </c>
      <c r="C2604" s="14" t="s">
        <v>4959</v>
      </c>
      <c r="D2604" s="14">
        <v>1</v>
      </c>
      <c r="E2604" s="15">
        <v>14.79</v>
      </c>
      <c r="F2604" s="16" t="s">
        <v>4092</v>
      </c>
      <c r="G2604" s="38" t="str">
        <f>HYPERLINK("http://enext.ua/s014012")</f>
        <v>http://enext.ua/s014012</v>
      </c>
    </row>
    <row r="2605" spans="2:7" ht="11.25" outlineLevel="4" x14ac:dyDescent="0.2">
      <c r="B2605" s="14" t="s">
        <v>4960</v>
      </c>
      <c r="C2605" s="14" t="s">
        <v>4961</v>
      </c>
      <c r="D2605" s="14">
        <v>1</v>
      </c>
      <c r="E2605" s="15">
        <v>16.18</v>
      </c>
      <c r="F2605" s="16" t="s">
        <v>4092</v>
      </c>
      <c r="G2605" s="38" t="str">
        <f>HYPERLINK("http://enext.ua/s014002")</f>
        <v>http://enext.ua/s014002</v>
      </c>
    </row>
    <row r="2606" spans="2:7" ht="11.25" outlineLevel="4" x14ac:dyDescent="0.2">
      <c r="B2606" s="14" t="s">
        <v>4962</v>
      </c>
      <c r="C2606" s="14" t="s">
        <v>4963</v>
      </c>
      <c r="D2606" s="14">
        <v>1</v>
      </c>
      <c r="E2606" s="15">
        <v>19.25</v>
      </c>
      <c r="F2606" s="16" t="s">
        <v>4092</v>
      </c>
      <c r="G2606" s="38" t="str">
        <f>HYPERLINK("http://enext.ua/s014013")</f>
        <v>http://enext.ua/s014013</v>
      </c>
    </row>
    <row r="2607" spans="2:7" ht="11.25" outlineLevel="4" x14ac:dyDescent="0.2">
      <c r="B2607" s="14" t="s">
        <v>4964</v>
      </c>
      <c r="C2607" s="14" t="s">
        <v>4965</v>
      </c>
      <c r="D2607" s="14">
        <v>1</v>
      </c>
      <c r="E2607" s="15">
        <v>22.88</v>
      </c>
      <c r="F2607" s="16" t="s">
        <v>4092</v>
      </c>
      <c r="G2607" s="38" t="str">
        <f>HYPERLINK("http://enext.ua/s014003")</f>
        <v>http://enext.ua/s014003</v>
      </c>
    </row>
    <row r="2608" spans="2:7" ht="11.25" outlineLevel="4" x14ac:dyDescent="0.2">
      <c r="B2608" s="14" t="s">
        <v>4966</v>
      </c>
      <c r="C2608" s="14" t="s">
        <v>4967</v>
      </c>
      <c r="D2608" s="14">
        <v>1</v>
      </c>
      <c r="E2608" s="15">
        <v>29.29</v>
      </c>
      <c r="F2608" s="16" t="s">
        <v>4092</v>
      </c>
      <c r="G2608" s="38" t="str">
        <f>HYPERLINK("http://enext.ua/s014004")</f>
        <v>http://enext.ua/s014004</v>
      </c>
    </row>
    <row r="2609" spans="2:7" ht="11.25" outlineLevel="4" x14ac:dyDescent="0.2">
      <c r="B2609" s="14" t="s">
        <v>4968</v>
      </c>
      <c r="C2609" s="14" t="s">
        <v>4969</v>
      </c>
      <c r="D2609" s="14">
        <v>1</v>
      </c>
      <c r="E2609" s="15">
        <v>42.13</v>
      </c>
      <c r="F2609" s="16" t="s">
        <v>4092</v>
      </c>
      <c r="G2609" s="38" t="str">
        <f>HYPERLINK("http://enext.ua/s014005")</f>
        <v>http://enext.ua/s014005</v>
      </c>
    </row>
    <row r="2610" spans="2:7" ht="11.25" outlineLevel="4" x14ac:dyDescent="0.2">
      <c r="B2610" s="14" t="s">
        <v>4970</v>
      </c>
      <c r="C2610" s="14" t="s">
        <v>4971</v>
      </c>
      <c r="D2610" s="14">
        <v>1</v>
      </c>
      <c r="E2610" s="15">
        <v>68.069999999999993</v>
      </c>
      <c r="F2610" s="16" t="s">
        <v>4092</v>
      </c>
      <c r="G2610" s="38" t="str">
        <f>HYPERLINK("http://enext.ua/s014006")</f>
        <v>http://enext.ua/s014006</v>
      </c>
    </row>
    <row r="2611" spans="2:7" ht="11.25" outlineLevel="4" x14ac:dyDescent="0.2">
      <c r="B2611" s="14" t="s">
        <v>4972</v>
      </c>
      <c r="C2611" s="14" t="s">
        <v>4973</v>
      </c>
      <c r="D2611" s="14">
        <v>1</v>
      </c>
      <c r="E2611" s="15">
        <v>79.22</v>
      </c>
      <c r="F2611" s="16" t="s">
        <v>4092</v>
      </c>
      <c r="G2611" s="38" t="str">
        <f>HYPERLINK("http://enext.ua/s014007")</f>
        <v>http://enext.ua/s014007</v>
      </c>
    </row>
    <row r="2612" spans="2:7" ht="11.25" outlineLevel="4" x14ac:dyDescent="0.2">
      <c r="B2612" s="14" t="s">
        <v>4974</v>
      </c>
      <c r="C2612" s="14" t="s">
        <v>4975</v>
      </c>
      <c r="D2612" s="14">
        <v>1</v>
      </c>
      <c r="E2612" s="15">
        <v>79.5</v>
      </c>
      <c r="F2612" s="16" t="s">
        <v>4092</v>
      </c>
      <c r="G2612" s="38" t="str">
        <f>HYPERLINK("http://enext.ua/s014008")</f>
        <v>http://enext.ua/s014008</v>
      </c>
    </row>
    <row r="2613" spans="2:7" ht="11.25" outlineLevel="4" x14ac:dyDescent="0.2">
      <c r="B2613" s="14" t="s">
        <v>4976</v>
      </c>
      <c r="C2613" s="14" t="s">
        <v>4977</v>
      </c>
      <c r="D2613" s="14">
        <v>1</v>
      </c>
      <c r="E2613" s="15">
        <v>114.65</v>
      </c>
      <c r="F2613" s="16" t="s">
        <v>4092</v>
      </c>
      <c r="G2613" s="38" t="str">
        <f>HYPERLINK("http://enext.ua/s014009")</f>
        <v>http://enext.ua/s014009</v>
      </c>
    </row>
    <row r="2614" spans="2:7" ht="11.25" outlineLevel="4" x14ac:dyDescent="0.2">
      <c r="B2614" s="14" t="s">
        <v>4978</v>
      </c>
      <c r="C2614" s="14" t="s">
        <v>4979</v>
      </c>
      <c r="D2614" s="14">
        <v>1</v>
      </c>
      <c r="E2614" s="15">
        <v>61.93</v>
      </c>
      <c r="F2614" s="16" t="s">
        <v>4092</v>
      </c>
      <c r="G2614" s="38" t="str">
        <f>HYPERLINK("http://enext.ua/s014016")</f>
        <v>http://enext.ua/s014016</v>
      </c>
    </row>
    <row r="2615" spans="2:7" ht="11.25" outlineLevel="4" x14ac:dyDescent="0.2">
      <c r="B2615" s="14" t="s">
        <v>4980</v>
      </c>
      <c r="C2615" s="14" t="s">
        <v>4981</v>
      </c>
      <c r="D2615" s="14">
        <v>1</v>
      </c>
      <c r="E2615" s="15">
        <v>84.24</v>
      </c>
      <c r="F2615" s="16" t="s">
        <v>4092</v>
      </c>
      <c r="G2615" s="38" t="str">
        <f>HYPERLINK("http://enext.ua/s014011")</f>
        <v>http://enext.ua/s014011</v>
      </c>
    </row>
    <row r="2616" spans="2:7" ht="12" outlineLevel="3" x14ac:dyDescent="0.2">
      <c r="B2616" s="10"/>
      <c r="C2616" s="36" t="s">
        <v>4982</v>
      </c>
      <c r="D2616" s="10"/>
      <c r="E2616" s="11"/>
      <c r="F2616" s="11"/>
      <c r="G2616" s="10"/>
    </row>
    <row r="2617" spans="2:7" ht="11.25" outlineLevel="4" x14ac:dyDescent="0.2">
      <c r="B2617" s="14" t="s">
        <v>4983</v>
      </c>
      <c r="C2617" s="14" t="s">
        <v>4984</v>
      </c>
      <c r="D2617" s="14">
        <v>1</v>
      </c>
      <c r="E2617" s="15">
        <v>14.23</v>
      </c>
      <c r="F2617" s="16" t="s">
        <v>4092</v>
      </c>
      <c r="G2617" s="38" t="str">
        <f>HYPERLINK("http://enext.ua/s013001")</f>
        <v>http://enext.ua/s013001</v>
      </c>
    </row>
    <row r="2618" spans="2:7" ht="11.25" outlineLevel="4" x14ac:dyDescent="0.2">
      <c r="B2618" s="14" t="s">
        <v>4985</v>
      </c>
      <c r="C2618" s="14" t="s">
        <v>4986</v>
      </c>
      <c r="D2618" s="14">
        <v>1</v>
      </c>
      <c r="E2618" s="15">
        <v>14.23</v>
      </c>
      <c r="F2618" s="16" t="s">
        <v>4092</v>
      </c>
      <c r="G2618" s="38" t="str">
        <f>HYPERLINK("http://enext.ua/s013002")</f>
        <v>http://enext.ua/s013002</v>
      </c>
    </row>
    <row r="2619" spans="2:7" ht="11.25" outlineLevel="4" x14ac:dyDescent="0.2">
      <c r="B2619" s="14" t="s">
        <v>4987</v>
      </c>
      <c r="C2619" s="14" t="s">
        <v>4988</v>
      </c>
      <c r="D2619" s="14">
        <v>1</v>
      </c>
      <c r="E2619" s="15">
        <v>16.18</v>
      </c>
      <c r="F2619" s="16" t="s">
        <v>4092</v>
      </c>
      <c r="G2619" s="38" t="str">
        <f>HYPERLINK("http://enext.ua/s013003")</f>
        <v>http://enext.ua/s013003</v>
      </c>
    </row>
    <row r="2620" spans="2:7" ht="11.25" outlineLevel="4" x14ac:dyDescent="0.2">
      <c r="B2620" s="14" t="s">
        <v>4989</v>
      </c>
      <c r="C2620" s="14" t="s">
        <v>4990</v>
      </c>
      <c r="D2620" s="14">
        <v>1</v>
      </c>
      <c r="E2620" s="15">
        <v>19.25</v>
      </c>
      <c r="F2620" s="16" t="s">
        <v>4092</v>
      </c>
      <c r="G2620" s="38" t="str">
        <f>HYPERLINK("http://enext.ua/s013004")</f>
        <v>http://enext.ua/s013004</v>
      </c>
    </row>
    <row r="2621" spans="2:7" ht="11.25" outlineLevel="4" x14ac:dyDescent="0.2">
      <c r="B2621" s="14" t="s">
        <v>4991</v>
      </c>
      <c r="C2621" s="14" t="s">
        <v>4992</v>
      </c>
      <c r="D2621" s="14">
        <v>1</v>
      </c>
      <c r="E2621" s="15">
        <v>21.2</v>
      </c>
      <c r="F2621" s="16" t="s">
        <v>4092</v>
      </c>
      <c r="G2621" s="38" t="str">
        <f>HYPERLINK("http://enext.ua/s013005")</f>
        <v>http://enext.ua/s013005</v>
      </c>
    </row>
    <row r="2622" spans="2:7" ht="11.25" outlineLevel="4" x14ac:dyDescent="0.2">
      <c r="B2622" s="14" t="s">
        <v>4993</v>
      </c>
      <c r="C2622" s="14" t="s">
        <v>4994</v>
      </c>
      <c r="D2622" s="14">
        <v>1</v>
      </c>
      <c r="E2622" s="15">
        <v>25.39</v>
      </c>
      <c r="F2622" s="16" t="s">
        <v>4092</v>
      </c>
      <c r="G2622" s="38" t="str">
        <f>HYPERLINK("http://enext.ua/s013006")</f>
        <v>http://enext.ua/s013006</v>
      </c>
    </row>
    <row r="2623" spans="2:7" ht="11.25" outlineLevel="4" x14ac:dyDescent="0.2">
      <c r="B2623" s="14" t="s">
        <v>4995</v>
      </c>
      <c r="C2623" s="14" t="s">
        <v>4996</v>
      </c>
      <c r="D2623" s="14">
        <v>1</v>
      </c>
      <c r="E2623" s="15">
        <v>29.01</v>
      </c>
      <c r="F2623" s="16" t="s">
        <v>4092</v>
      </c>
      <c r="G2623" s="38" t="str">
        <f>HYPERLINK("http://enext.ua/s013007")</f>
        <v>http://enext.ua/s013007</v>
      </c>
    </row>
    <row r="2624" spans="2:7" ht="11.25" outlineLevel="4" x14ac:dyDescent="0.2">
      <c r="B2624" s="14" t="s">
        <v>4997</v>
      </c>
      <c r="C2624" s="14" t="s">
        <v>4998</v>
      </c>
      <c r="D2624" s="14">
        <v>1</v>
      </c>
      <c r="E2624" s="15">
        <v>34.869999999999997</v>
      </c>
      <c r="F2624" s="16" t="s">
        <v>4092</v>
      </c>
      <c r="G2624" s="38" t="str">
        <f>HYPERLINK("http://enext.ua/s013008")</f>
        <v>http://enext.ua/s013008</v>
      </c>
    </row>
    <row r="2625" spans="2:7" ht="11.25" outlineLevel="4" x14ac:dyDescent="0.2">
      <c r="B2625" s="14" t="s">
        <v>4999</v>
      </c>
      <c r="C2625" s="14" t="s">
        <v>5000</v>
      </c>
      <c r="D2625" s="14">
        <v>1</v>
      </c>
      <c r="E2625" s="15">
        <v>43.24</v>
      </c>
      <c r="F2625" s="16" t="s">
        <v>4092</v>
      </c>
      <c r="G2625" s="38" t="str">
        <f>HYPERLINK("http://enext.ua/s013009")</f>
        <v>http://enext.ua/s013009</v>
      </c>
    </row>
    <row r="2626" spans="2:7" ht="12" outlineLevel="3" x14ac:dyDescent="0.2">
      <c r="B2626" s="10"/>
      <c r="C2626" s="36" t="s">
        <v>5001</v>
      </c>
      <c r="D2626" s="10"/>
      <c r="E2626" s="11"/>
      <c r="F2626" s="11"/>
      <c r="G2626" s="10"/>
    </row>
    <row r="2627" spans="2:7" ht="12" outlineLevel="4" x14ac:dyDescent="0.2">
      <c r="B2627" s="12"/>
      <c r="C2627" s="37" t="s">
        <v>5002</v>
      </c>
      <c r="D2627" s="12"/>
      <c r="E2627" s="13"/>
      <c r="F2627" s="13"/>
      <c r="G2627" s="12"/>
    </row>
    <row r="2628" spans="2:7" ht="11.25" outlineLevel="5" x14ac:dyDescent="0.2">
      <c r="B2628" s="14" t="s">
        <v>5003</v>
      </c>
      <c r="C2628" s="14" t="s">
        <v>5004</v>
      </c>
      <c r="D2628" s="14">
        <v>1</v>
      </c>
      <c r="E2628" s="15">
        <v>10.039999999999999</v>
      </c>
      <c r="F2628" s="16" t="s">
        <v>4092</v>
      </c>
      <c r="G2628" s="38" t="str">
        <f>HYPERLINK("http://enext.ua/s015002")</f>
        <v>http://enext.ua/s015002</v>
      </c>
    </row>
    <row r="2629" spans="2:7" ht="11.25" outlineLevel="5" x14ac:dyDescent="0.2">
      <c r="B2629" s="14" t="s">
        <v>5005</v>
      </c>
      <c r="C2629" s="14" t="s">
        <v>5006</v>
      </c>
      <c r="D2629" s="14">
        <v>1</v>
      </c>
      <c r="E2629" s="15">
        <v>10.039999999999999</v>
      </c>
      <c r="F2629" s="16" t="s">
        <v>4092</v>
      </c>
      <c r="G2629" s="38" t="str">
        <f>HYPERLINK("http://enext.ua/s015012")</f>
        <v>http://enext.ua/s015012</v>
      </c>
    </row>
    <row r="2630" spans="2:7" ht="11.25" outlineLevel="5" x14ac:dyDescent="0.2">
      <c r="B2630" s="14" t="s">
        <v>5007</v>
      </c>
      <c r="C2630" s="14" t="s">
        <v>5008</v>
      </c>
      <c r="D2630" s="14">
        <v>1</v>
      </c>
      <c r="E2630" s="15">
        <v>10.039999999999999</v>
      </c>
      <c r="F2630" s="16" t="s">
        <v>4092</v>
      </c>
      <c r="G2630" s="38" t="str">
        <f>HYPERLINK("http://enext.ua/s015011")</f>
        <v>http://enext.ua/s015011</v>
      </c>
    </row>
    <row r="2631" spans="2:7" ht="11.25" outlineLevel="5" x14ac:dyDescent="0.2">
      <c r="B2631" s="14" t="s">
        <v>5009</v>
      </c>
      <c r="C2631" s="14" t="s">
        <v>5010</v>
      </c>
      <c r="D2631" s="14">
        <v>1</v>
      </c>
      <c r="E2631" s="15">
        <v>10.039999999999999</v>
      </c>
      <c r="F2631" s="16" t="s">
        <v>4092</v>
      </c>
      <c r="G2631" s="38" t="str">
        <f>HYPERLINK("http://enext.ua/s015003")</f>
        <v>http://enext.ua/s015003</v>
      </c>
    </row>
    <row r="2632" spans="2:7" ht="11.25" outlineLevel="5" x14ac:dyDescent="0.2">
      <c r="B2632" s="14" t="s">
        <v>5011</v>
      </c>
      <c r="C2632" s="14" t="s">
        <v>5012</v>
      </c>
      <c r="D2632" s="14">
        <v>1</v>
      </c>
      <c r="E2632" s="15">
        <v>10.039999999999999</v>
      </c>
      <c r="F2632" s="16" t="s">
        <v>4092</v>
      </c>
      <c r="G2632" s="38" t="str">
        <f>HYPERLINK("http://enext.ua/s015001")</f>
        <v>http://enext.ua/s015001</v>
      </c>
    </row>
    <row r="2633" spans="2:7" ht="11.25" outlineLevel="5" x14ac:dyDescent="0.2">
      <c r="B2633" s="14" t="s">
        <v>5013</v>
      </c>
      <c r="C2633" s="14" t="s">
        <v>5014</v>
      </c>
      <c r="D2633" s="14">
        <v>1</v>
      </c>
      <c r="E2633" s="15">
        <v>10.039999999999999</v>
      </c>
      <c r="F2633" s="16" t="s">
        <v>4092</v>
      </c>
      <c r="G2633" s="38" t="str">
        <f>HYPERLINK("http://enext.ua/s015010")</f>
        <v>http://enext.ua/s015010</v>
      </c>
    </row>
    <row r="2634" spans="2:7" ht="12" outlineLevel="4" x14ac:dyDescent="0.2">
      <c r="B2634" s="12"/>
      <c r="C2634" s="37" t="s">
        <v>5015</v>
      </c>
      <c r="D2634" s="12"/>
      <c r="E2634" s="13"/>
      <c r="F2634" s="13"/>
      <c r="G2634" s="12"/>
    </row>
    <row r="2635" spans="2:7" ht="11.25" outlineLevel="5" x14ac:dyDescent="0.2">
      <c r="B2635" s="14" t="s">
        <v>5016</v>
      </c>
      <c r="C2635" s="14" t="s">
        <v>5017</v>
      </c>
      <c r="D2635" s="14">
        <v>1</v>
      </c>
      <c r="E2635" s="15">
        <v>14.79</v>
      </c>
      <c r="F2635" s="16" t="s">
        <v>4092</v>
      </c>
      <c r="G2635" s="38" t="str">
        <f>HYPERLINK("http://enext.ua/s015119")</f>
        <v>http://enext.ua/s015119</v>
      </c>
    </row>
    <row r="2636" spans="2:7" ht="11.25" outlineLevel="5" x14ac:dyDescent="0.2">
      <c r="B2636" s="14" t="s">
        <v>5018</v>
      </c>
      <c r="C2636" s="14" t="s">
        <v>5019</v>
      </c>
      <c r="D2636" s="14">
        <v>1</v>
      </c>
      <c r="E2636" s="15">
        <v>14.79</v>
      </c>
      <c r="F2636" s="16" t="s">
        <v>4092</v>
      </c>
      <c r="G2636" s="38" t="str">
        <f>HYPERLINK("http://enext.ua/s015004")</f>
        <v>http://enext.ua/s015004</v>
      </c>
    </row>
    <row r="2637" spans="2:7" ht="12" outlineLevel="4" x14ac:dyDescent="0.2">
      <c r="B2637" s="12"/>
      <c r="C2637" s="37" t="s">
        <v>5020</v>
      </c>
      <c r="D2637" s="12"/>
      <c r="E2637" s="13"/>
      <c r="F2637" s="13"/>
      <c r="G2637" s="12"/>
    </row>
    <row r="2638" spans="2:7" ht="11.25" outlineLevel="5" x14ac:dyDescent="0.2">
      <c r="B2638" s="14" t="s">
        <v>5021</v>
      </c>
      <c r="C2638" s="14" t="s">
        <v>5022</v>
      </c>
      <c r="D2638" s="14">
        <v>1</v>
      </c>
      <c r="E2638" s="15">
        <v>21.76</v>
      </c>
      <c r="F2638" s="16" t="s">
        <v>4092</v>
      </c>
      <c r="G2638" s="38" t="str">
        <f>HYPERLINK("http://enext.ua/s015121")</f>
        <v>http://enext.ua/s015121</v>
      </c>
    </row>
    <row r="2639" spans="2:7" ht="11.25" outlineLevel="5" x14ac:dyDescent="0.2">
      <c r="B2639" s="14" t="s">
        <v>5023</v>
      </c>
      <c r="C2639" s="14" t="s">
        <v>5024</v>
      </c>
      <c r="D2639" s="14">
        <v>1</v>
      </c>
      <c r="E2639" s="15">
        <v>21.76</v>
      </c>
      <c r="F2639" s="16" t="s">
        <v>4092</v>
      </c>
      <c r="G2639" s="38" t="str">
        <f>HYPERLINK("http://enext.ua/s015005")</f>
        <v>http://enext.ua/s015005</v>
      </c>
    </row>
    <row r="2640" spans="2:7" ht="12" outlineLevel="4" x14ac:dyDescent="0.2">
      <c r="B2640" s="12"/>
      <c r="C2640" s="37" t="s">
        <v>5025</v>
      </c>
      <c r="D2640" s="12"/>
      <c r="E2640" s="13"/>
      <c r="F2640" s="13"/>
      <c r="G2640" s="12"/>
    </row>
    <row r="2641" spans="2:7" ht="11.25" outlineLevel="5" x14ac:dyDescent="0.2">
      <c r="B2641" s="14" t="s">
        <v>5026</v>
      </c>
      <c r="C2641" s="14" t="s">
        <v>5027</v>
      </c>
      <c r="D2641" s="14">
        <v>1</v>
      </c>
      <c r="E2641" s="15">
        <v>37.93</v>
      </c>
      <c r="F2641" s="16" t="s">
        <v>4092</v>
      </c>
      <c r="G2641" s="38" t="str">
        <f>HYPERLINK("http://enext.ua/s015020")</f>
        <v>http://enext.ua/s015020</v>
      </c>
    </row>
    <row r="2642" spans="2:7" ht="11.25" outlineLevel="5" x14ac:dyDescent="0.2">
      <c r="B2642" s="14" t="s">
        <v>5028</v>
      </c>
      <c r="C2642" s="14" t="s">
        <v>5029</v>
      </c>
      <c r="D2642" s="14">
        <v>1</v>
      </c>
      <c r="E2642" s="15">
        <v>37.93</v>
      </c>
      <c r="F2642" s="16" t="s">
        <v>4092</v>
      </c>
      <c r="G2642" s="38" t="str">
        <f>HYPERLINK("http://enext.ua/s015024")</f>
        <v>http://enext.ua/s015024</v>
      </c>
    </row>
    <row r="2643" spans="2:7" ht="11.25" outlineLevel="5" x14ac:dyDescent="0.2">
      <c r="B2643" s="14" t="s">
        <v>5030</v>
      </c>
      <c r="C2643" s="14" t="s">
        <v>5031</v>
      </c>
      <c r="D2643" s="14">
        <v>1</v>
      </c>
      <c r="E2643" s="15">
        <v>37.93</v>
      </c>
      <c r="F2643" s="16" t="s">
        <v>4092</v>
      </c>
      <c r="G2643" s="38" t="str">
        <f>HYPERLINK("http://enext.ua/s015023")</f>
        <v>http://enext.ua/s015023</v>
      </c>
    </row>
    <row r="2644" spans="2:7" ht="11.25" outlineLevel="5" x14ac:dyDescent="0.2">
      <c r="B2644" s="14" t="s">
        <v>5032</v>
      </c>
      <c r="C2644" s="14" t="s">
        <v>5033</v>
      </c>
      <c r="D2644" s="14">
        <v>1</v>
      </c>
      <c r="E2644" s="15">
        <v>37.93</v>
      </c>
      <c r="F2644" s="16" t="s">
        <v>4092</v>
      </c>
      <c r="G2644" s="38" t="str">
        <f>HYPERLINK("http://enext.ua/s015021")</f>
        <v>http://enext.ua/s015021</v>
      </c>
    </row>
    <row r="2645" spans="2:7" ht="11.25" outlineLevel="5" x14ac:dyDescent="0.2">
      <c r="B2645" s="14" t="s">
        <v>5034</v>
      </c>
      <c r="C2645" s="14" t="s">
        <v>5035</v>
      </c>
      <c r="D2645" s="14">
        <v>1</v>
      </c>
      <c r="E2645" s="15">
        <v>37.93</v>
      </c>
      <c r="F2645" s="16" t="s">
        <v>4092</v>
      </c>
      <c r="G2645" s="38" t="str">
        <f>HYPERLINK("http://enext.ua/s015019")</f>
        <v>http://enext.ua/s015019</v>
      </c>
    </row>
    <row r="2646" spans="2:7" ht="11.25" outlineLevel="5" x14ac:dyDescent="0.2">
      <c r="B2646" s="14" t="s">
        <v>5036</v>
      </c>
      <c r="C2646" s="14" t="s">
        <v>5037</v>
      </c>
      <c r="D2646" s="14">
        <v>1</v>
      </c>
      <c r="E2646" s="15">
        <v>37.93</v>
      </c>
      <c r="F2646" s="16" t="s">
        <v>4092</v>
      </c>
      <c r="G2646" s="38" t="str">
        <f>HYPERLINK("http://enext.ua/s015022")</f>
        <v>http://enext.ua/s015022</v>
      </c>
    </row>
    <row r="2647" spans="2:7" ht="12" outlineLevel="4" x14ac:dyDescent="0.2">
      <c r="B2647" s="12"/>
      <c r="C2647" s="37" t="s">
        <v>5038</v>
      </c>
      <c r="D2647" s="12"/>
      <c r="E2647" s="13"/>
      <c r="F2647" s="13"/>
      <c r="G2647" s="12"/>
    </row>
    <row r="2648" spans="2:7" ht="11.25" outlineLevel="5" x14ac:dyDescent="0.2">
      <c r="B2648" s="14" t="s">
        <v>5039</v>
      </c>
      <c r="C2648" s="14" t="s">
        <v>5040</v>
      </c>
      <c r="D2648" s="14">
        <v>1</v>
      </c>
      <c r="E2648" s="15">
        <v>29.85</v>
      </c>
      <c r="F2648" s="16" t="s">
        <v>4092</v>
      </c>
      <c r="G2648" s="38" t="str">
        <f>HYPERLINK("http://enext.ua/s015014")</f>
        <v>http://enext.ua/s015014</v>
      </c>
    </row>
    <row r="2649" spans="2:7" ht="11.25" outlineLevel="5" x14ac:dyDescent="0.2">
      <c r="B2649" s="14" t="s">
        <v>5041</v>
      </c>
      <c r="C2649" s="14" t="s">
        <v>5042</v>
      </c>
      <c r="D2649" s="14">
        <v>1</v>
      </c>
      <c r="E2649" s="15">
        <v>29.85</v>
      </c>
      <c r="F2649" s="16" t="s">
        <v>4092</v>
      </c>
      <c r="G2649" s="38" t="str">
        <f>HYPERLINK("http://enext.ua/s015018")</f>
        <v>http://enext.ua/s015018</v>
      </c>
    </row>
    <row r="2650" spans="2:7" ht="11.25" outlineLevel="5" x14ac:dyDescent="0.2">
      <c r="B2650" s="14" t="s">
        <v>5043</v>
      </c>
      <c r="C2650" s="14" t="s">
        <v>5044</v>
      </c>
      <c r="D2650" s="14">
        <v>1</v>
      </c>
      <c r="E2650" s="15">
        <v>29.85</v>
      </c>
      <c r="F2650" s="16" t="s">
        <v>4092</v>
      </c>
      <c r="G2650" s="38" t="str">
        <f>HYPERLINK("http://enext.ua/s015017")</f>
        <v>http://enext.ua/s015017</v>
      </c>
    </row>
    <row r="2651" spans="2:7" ht="11.25" outlineLevel="5" x14ac:dyDescent="0.2">
      <c r="B2651" s="14" t="s">
        <v>5045</v>
      </c>
      <c r="C2651" s="14" t="s">
        <v>5046</v>
      </c>
      <c r="D2651" s="14">
        <v>1</v>
      </c>
      <c r="E2651" s="15">
        <v>29.85</v>
      </c>
      <c r="F2651" s="16" t="s">
        <v>4092</v>
      </c>
      <c r="G2651" s="38" t="str">
        <f>HYPERLINK("http://enext.ua/s015015")</f>
        <v>http://enext.ua/s015015</v>
      </c>
    </row>
    <row r="2652" spans="2:7" ht="11.25" outlineLevel="5" x14ac:dyDescent="0.2">
      <c r="B2652" s="14" t="s">
        <v>5047</v>
      </c>
      <c r="C2652" s="14" t="s">
        <v>5048</v>
      </c>
      <c r="D2652" s="14">
        <v>1</v>
      </c>
      <c r="E2652" s="15">
        <v>29.85</v>
      </c>
      <c r="F2652" s="16" t="s">
        <v>4092</v>
      </c>
      <c r="G2652" s="38" t="str">
        <f>HYPERLINK("http://enext.ua/s015013")</f>
        <v>http://enext.ua/s015013</v>
      </c>
    </row>
    <row r="2653" spans="2:7" ht="11.25" outlineLevel="5" x14ac:dyDescent="0.2">
      <c r="B2653" s="14" t="s">
        <v>5049</v>
      </c>
      <c r="C2653" s="14" t="s">
        <v>5050</v>
      </c>
      <c r="D2653" s="14">
        <v>1</v>
      </c>
      <c r="E2653" s="15">
        <v>29.85</v>
      </c>
      <c r="F2653" s="16" t="s">
        <v>4092</v>
      </c>
      <c r="G2653" s="38" t="str">
        <f>HYPERLINK("http://enext.ua/s015016")</f>
        <v>http://enext.ua/s015016</v>
      </c>
    </row>
    <row r="2654" spans="2:7" ht="12" outlineLevel="4" x14ac:dyDescent="0.2">
      <c r="B2654" s="12"/>
      <c r="C2654" s="37" t="s">
        <v>5051</v>
      </c>
      <c r="D2654" s="12"/>
      <c r="E2654" s="13"/>
      <c r="F2654" s="13"/>
      <c r="G2654" s="12"/>
    </row>
    <row r="2655" spans="2:7" ht="11.25" outlineLevel="5" x14ac:dyDescent="0.2">
      <c r="B2655" s="14" t="s">
        <v>5052</v>
      </c>
      <c r="C2655" s="14" t="s">
        <v>5053</v>
      </c>
      <c r="D2655" s="14">
        <v>1</v>
      </c>
      <c r="E2655" s="15">
        <v>48.27</v>
      </c>
      <c r="F2655" s="16" t="s">
        <v>4092</v>
      </c>
      <c r="G2655" s="38" t="str">
        <f>HYPERLINK("http://enext.ua/s015102")</f>
        <v>http://enext.ua/s015102</v>
      </c>
    </row>
    <row r="2656" spans="2:7" ht="11.25" outlineLevel="5" x14ac:dyDescent="0.2">
      <c r="B2656" s="14" t="s">
        <v>5054</v>
      </c>
      <c r="C2656" s="14" t="s">
        <v>5055</v>
      </c>
      <c r="D2656" s="14">
        <v>1</v>
      </c>
      <c r="E2656" s="15">
        <v>48.27</v>
      </c>
      <c r="F2656" s="16" t="s">
        <v>4092</v>
      </c>
      <c r="G2656" s="38" t="str">
        <f>HYPERLINK("http://enext.ua/s015006")</f>
        <v>http://enext.ua/s015006</v>
      </c>
    </row>
    <row r="2657" spans="2:7" ht="12" outlineLevel="4" x14ac:dyDescent="0.2">
      <c r="B2657" s="12"/>
      <c r="C2657" s="37" t="s">
        <v>5056</v>
      </c>
      <c r="D2657" s="12"/>
      <c r="E2657" s="13"/>
      <c r="F2657" s="13"/>
      <c r="G2657" s="12"/>
    </row>
    <row r="2658" spans="2:7" ht="11.25" outlineLevel="5" x14ac:dyDescent="0.2">
      <c r="B2658" s="14" t="s">
        <v>5057</v>
      </c>
      <c r="C2658" s="14" t="s">
        <v>5058</v>
      </c>
      <c r="D2658" s="14">
        <v>1</v>
      </c>
      <c r="E2658" s="15">
        <v>66.39</v>
      </c>
      <c r="F2658" s="16" t="s">
        <v>4092</v>
      </c>
      <c r="G2658" s="38" t="str">
        <f>HYPERLINK("http://enext.ua/s015038")</f>
        <v>http://enext.ua/s015038</v>
      </c>
    </row>
    <row r="2659" spans="2:7" ht="11.25" outlineLevel="5" x14ac:dyDescent="0.2">
      <c r="B2659" s="14" t="s">
        <v>5059</v>
      </c>
      <c r="C2659" s="14" t="s">
        <v>5060</v>
      </c>
      <c r="D2659" s="14">
        <v>1</v>
      </c>
      <c r="E2659" s="15">
        <v>66.39</v>
      </c>
      <c r="F2659" s="16" t="s">
        <v>4092</v>
      </c>
      <c r="G2659" s="38" t="str">
        <f>HYPERLINK("http://enext.ua/s015042")</f>
        <v>http://enext.ua/s015042</v>
      </c>
    </row>
    <row r="2660" spans="2:7" ht="11.25" outlineLevel="5" x14ac:dyDescent="0.2">
      <c r="B2660" s="14" t="s">
        <v>5061</v>
      </c>
      <c r="C2660" s="14" t="s">
        <v>5062</v>
      </c>
      <c r="D2660" s="14">
        <v>1</v>
      </c>
      <c r="E2660" s="15">
        <v>66.39</v>
      </c>
      <c r="F2660" s="16" t="s">
        <v>4092</v>
      </c>
      <c r="G2660" s="38" t="str">
        <f>HYPERLINK("http://enext.ua/s015041")</f>
        <v>http://enext.ua/s015041</v>
      </c>
    </row>
    <row r="2661" spans="2:7" ht="11.25" outlineLevel="5" x14ac:dyDescent="0.2">
      <c r="B2661" s="14" t="s">
        <v>5063</v>
      </c>
      <c r="C2661" s="14" t="s">
        <v>5064</v>
      </c>
      <c r="D2661" s="14">
        <v>1</v>
      </c>
      <c r="E2661" s="15">
        <v>66.39</v>
      </c>
      <c r="F2661" s="16" t="s">
        <v>4092</v>
      </c>
      <c r="G2661" s="38" t="str">
        <f>HYPERLINK("http://enext.ua/s015039")</f>
        <v>http://enext.ua/s015039</v>
      </c>
    </row>
    <row r="2662" spans="2:7" ht="11.25" outlineLevel="5" x14ac:dyDescent="0.2">
      <c r="B2662" s="14" t="s">
        <v>5065</v>
      </c>
      <c r="C2662" s="14" t="s">
        <v>5066</v>
      </c>
      <c r="D2662" s="14">
        <v>1</v>
      </c>
      <c r="E2662" s="15">
        <v>66.39</v>
      </c>
      <c r="F2662" s="16" t="s">
        <v>4092</v>
      </c>
      <c r="G2662" s="38" t="str">
        <f>HYPERLINK("http://enext.ua/s015037")</f>
        <v>http://enext.ua/s015037</v>
      </c>
    </row>
    <row r="2663" spans="2:7" ht="11.25" outlineLevel="5" x14ac:dyDescent="0.2">
      <c r="B2663" s="14" t="s">
        <v>5067</v>
      </c>
      <c r="C2663" s="14" t="s">
        <v>5068</v>
      </c>
      <c r="D2663" s="14">
        <v>1</v>
      </c>
      <c r="E2663" s="15">
        <v>66.39</v>
      </c>
      <c r="F2663" s="16" t="s">
        <v>4092</v>
      </c>
      <c r="G2663" s="38" t="str">
        <f>HYPERLINK("http://enext.ua/s015040")</f>
        <v>http://enext.ua/s015040</v>
      </c>
    </row>
    <row r="2664" spans="2:7" ht="12" outlineLevel="4" x14ac:dyDescent="0.2">
      <c r="B2664" s="12"/>
      <c r="C2664" s="37" t="s">
        <v>5069</v>
      </c>
      <c r="D2664" s="12"/>
      <c r="E2664" s="13"/>
      <c r="F2664" s="13"/>
      <c r="G2664" s="12"/>
    </row>
    <row r="2665" spans="2:7" ht="11.25" outlineLevel="5" x14ac:dyDescent="0.2">
      <c r="B2665" s="14" t="s">
        <v>5070</v>
      </c>
      <c r="C2665" s="14" t="s">
        <v>5071</v>
      </c>
      <c r="D2665" s="14">
        <v>1</v>
      </c>
      <c r="E2665" s="15">
        <v>75.599999999999994</v>
      </c>
      <c r="F2665" s="16" t="s">
        <v>4092</v>
      </c>
      <c r="G2665" s="38" t="str">
        <f>HYPERLINK("http://enext.ua/s015026")</f>
        <v>http://enext.ua/s015026</v>
      </c>
    </row>
    <row r="2666" spans="2:7" ht="11.25" outlineLevel="5" x14ac:dyDescent="0.2">
      <c r="B2666" s="14" t="s">
        <v>5072</v>
      </c>
      <c r="C2666" s="14" t="s">
        <v>5073</v>
      </c>
      <c r="D2666" s="14">
        <v>1</v>
      </c>
      <c r="E2666" s="15">
        <v>75.599999999999994</v>
      </c>
      <c r="F2666" s="16" t="s">
        <v>4092</v>
      </c>
      <c r="G2666" s="38" t="str">
        <f>HYPERLINK("http://enext.ua/s015030")</f>
        <v>http://enext.ua/s015030</v>
      </c>
    </row>
    <row r="2667" spans="2:7" ht="11.25" outlineLevel="5" x14ac:dyDescent="0.2">
      <c r="B2667" s="14" t="s">
        <v>5074</v>
      </c>
      <c r="C2667" s="14" t="s">
        <v>5075</v>
      </c>
      <c r="D2667" s="14">
        <v>1</v>
      </c>
      <c r="E2667" s="15">
        <v>75.599999999999994</v>
      </c>
      <c r="F2667" s="16" t="s">
        <v>4092</v>
      </c>
      <c r="G2667" s="38" t="str">
        <f>HYPERLINK("http://enext.ua/s015029")</f>
        <v>http://enext.ua/s015029</v>
      </c>
    </row>
    <row r="2668" spans="2:7" ht="11.25" outlineLevel="5" x14ac:dyDescent="0.2">
      <c r="B2668" s="14" t="s">
        <v>5076</v>
      </c>
      <c r="C2668" s="14" t="s">
        <v>5077</v>
      </c>
      <c r="D2668" s="14">
        <v>1</v>
      </c>
      <c r="E2668" s="15">
        <v>75.599999999999994</v>
      </c>
      <c r="F2668" s="16" t="s">
        <v>4092</v>
      </c>
      <c r="G2668" s="38" t="str">
        <f>HYPERLINK("http://enext.ua/s015027")</f>
        <v>http://enext.ua/s015027</v>
      </c>
    </row>
    <row r="2669" spans="2:7" ht="11.25" outlineLevel="5" x14ac:dyDescent="0.2">
      <c r="B2669" s="14" t="s">
        <v>5078</v>
      </c>
      <c r="C2669" s="14" t="s">
        <v>5079</v>
      </c>
      <c r="D2669" s="14">
        <v>1</v>
      </c>
      <c r="E2669" s="15">
        <v>75.599999999999994</v>
      </c>
      <c r="F2669" s="16" t="s">
        <v>4092</v>
      </c>
      <c r="G2669" s="38" t="str">
        <f>HYPERLINK("http://enext.ua/s015025")</f>
        <v>http://enext.ua/s015025</v>
      </c>
    </row>
    <row r="2670" spans="2:7" ht="11.25" outlineLevel="5" x14ac:dyDescent="0.2">
      <c r="B2670" s="14" t="s">
        <v>5080</v>
      </c>
      <c r="C2670" s="14" t="s">
        <v>5081</v>
      </c>
      <c r="D2670" s="14">
        <v>1</v>
      </c>
      <c r="E2670" s="15">
        <v>75.599999999999994</v>
      </c>
      <c r="F2670" s="16" t="s">
        <v>4092</v>
      </c>
      <c r="G2670" s="38" t="str">
        <f>HYPERLINK("http://enext.ua/s015028")</f>
        <v>http://enext.ua/s015028</v>
      </c>
    </row>
    <row r="2671" spans="2:7" ht="12" outlineLevel="4" x14ac:dyDescent="0.2">
      <c r="B2671" s="12"/>
      <c r="C2671" s="37" t="s">
        <v>5082</v>
      </c>
      <c r="D2671" s="12"/>
      <c r="E2671" s="13"/>
      <c r="F2671" s="13"/>
      <c r="G2671" s="12"/>
    </row>
    <row r="2672" spans="2:7" ht="11.25" outlineLevel="5" x14ac:dyDescent="0.2">
      <c r="B2672" s="14" t="s">
        <v>5083</v>
      </c>
      <c r="C2672" s="14" t="s">
        <v>5084</v>
      </c>
      <c r="D2672" s="14">
        <v>1</v>
      </c>
      <c r="E2672" s="15">
        <v>102.37</v>
      </c>
      <c r="F2672" s="16" t="s">
        <v>4092</v>
      </c>
      <c r="G2672" s="38" t="str">
        <f>HYPERLINK("http://enext.ua/s015044")</f>
        <v>http://enext.ua/s015044</v>
      </c>
    </row>
    <row r="2673" spans="2:7" ht="11.25" outlineLevel="5" x14ac:dyDescent="0.2">
      <c r="B2673" s="14" t="s">
        <v>5085</v>
      </c>
      <c r="C2673" s="14" t="s">
        <v>5086</v>
      </c>
      <c r="D2673" s="14">
        <v>1</v>
      </c>
      <c r="E2673" s="15">
        <v>102.37</v>
      </c>
      <c r="F2673" s="16" t="s">
        <v>4092</v>
      </c>
      <c r="G2673" s="38" t="str">
        <f>HYPERLINK("http://enext.ua/s015048")</f>
        <v>http://enext.ua/s015048</v>
      </c>
    </row>
    <row r="2674" spans="2:7" ht="11.25" outlineLevel="5" x14ac:dyDescent="0.2">
      <c r="B2674" s="14" t="s">
        <v>5087</v>
      </c>
      <c r="C2674" s="14" t="s">
        <v>5088</v>
      </c>
      <c r="D2674" s="14">
        <v>1</v>
      </c>
      <c r="E2674" s="15">
        <v>102.37</v>
      </c>
      <c r="F2674" s="16" t="s">
        <v>4092</v>
      </c>
      <c r="G2674" s="38" t="str">
        <f>HYPERLINK("http://enext.ua/s015047")</f>
        <v>http://enext.ua/s015047</v>
      </c>
    </row>
    <row r="2675" spans="2:7" ht="11.25" outlineLevel="5" x14ac:dyDescent="0.2">
      <c r="B2675" s="14" t="s">
        <v>5089</v>
      </c>
      <c r="C2675" s="14" t="s">
        <v>5090</v>
      </c>
      <c r="D2675" s="14">
        <v>1</v>
      </c>
      <c r="E2675" s="15">
        <v>102.37</v>
      </c>
      <c r="F2675" s="16" t="s">
        <v>4092</v>
      </c>
      <c r="G2675" s="38" t="str">
        <f>HYPERLINK("http://enext.ua/s015045")</f>
        <v>http://enext.ua/s015045</v>
      </c>
    </row>
    <row r="2676" spans="2:7" ht="11.25" outlineLevel="5" x14ac:dyDescent="0.2">
      <c r="B2676" s="14" t="s">
        <v>5091</v>
      </c>
      <c r="C2676" s="14" t="s">
        <v>5092</v>
      </c>
      <c r="D2676" s="14">
        <v>1</v>
      </c>
      <c r="E2676" s="15">
        <v>102.37</v>
      </c>
      <c r="F2676" s="16" t="s">
        <v>4092</v>
      </c>
      <c r="G2676" s="38" t="str">
        <f>HYPERLINK("http://enext.ua/s015043")</f>
        <v>http://enext.ua/s015043</v>
      </c>
    </row>
    <row r="2677" spans="2:7" ht="11.25" outlineLevel="5" x14ac:dyDescent="0.2">
      <c r="B2677" s="14" t="s">
        <v>5093</v>
      </c>
      <c r="C2677" s="14" t="s">
        <v>5094</v>
      </c>
      <c r="D2677" s="14">
        <v>1</v>
      </c>
      <c r="E2677" s="15">
        <v>102.37</v>
      </c>
      <c r="F2677" s="16" t="s">
        <v>4092</v>
      </c>
      <c r="G2677" s="38" t="str">
        <f>HYPERLINK("http://enext.ua/s015046")</f>
        <v>http://enext.ua/s015046</v>
      </c>
    </row>
    <row r="2678" spans="2:7" ht="12" outlineLevel="4" x14ac:dyDescent="0.2">
      <c r="B2678" s="12"/>
      <c r="C2678" s="37" t="s">
        <v>5095</v>
      </c>
      <c r="D2678" s="12"/>
      <c r="E2678" s="13"/>
      <c r="F2678" s="13"/>
      <c r="G2678" s="12"/>
    </row>
    <row r="2679" spans="2:7" ht="11.25" outlineLevel="5" x14ac:dyDescent="0.2">
      <c r="B2679" s="14" t="s">
        <v>5096</v>
      </c>
      <c r="C2679" s="14" t="s">
        <v>5097</v>
      </c>
      <c r="D2679" s="14">
        <v>1</v>
      </c>
      <c r="E2679" s="15">
        <v>194.14</v>
      </c>
      <c r="F2679" s="16" t="s">
        <v>4092</v>
      </c>
      <c r="G2679" s="38" t="str">
        <f>HYPERLINK("http://enext.ua/s015056")</f>
        <v>http://enext.ua/s015056</v>
      </c>
    </row>
    <row r="2680" spans="2:7" ht="11.25" outlineLevel="5" x14ac:dyDescent="0.2">
      <c r="B2680" s="14" t="s">
        <v>5098</v>
      </c>
      <c r="C2680" s="14" t="s">
        <v>5099</v>
      </c>
      <c r="D2680" s="14">
        <v>1</v>
      </c>
      <c r="E2680" s="15">
        <v>194.14</v>
      </c>
      <c r="F2680" s="16" t="s">
        <v>4092</v>
      </c>
      <c r="G2680" s="38" t="str">
        <f>HYPERLINK("http://enext.ua/s015060")</f>
        <v>http://enext.ua/s015060</v>
      </c>
    </row>
    <row r="2681" spans="2:7" ht="11.25" outlineLevel="5" x14ac:dyDescent="0.2">
      <c r="B2681" s="14" t="s">
        <v>5100</v>
      </c>
      <c r="C2681" s="14" t="s">
        <v>5101</v>
      </c>
      <c r="D2681" s="14">
        <v>1</v>
      </c>
      <c r="E2681" s="15">
        <v>194.14</v>
      </c>
      <c r="F2681" s="16" t="s">
        <v>4092</v>
      </c>
      <c r="G2681" s="38" t="str">
        <f>HYPERLINK("http://enext.ua/s015059")</f>
        <v>http://enext.ua/s015059</v>
      </c>
    </row>
    <row r="2682" spans="2:7" ht="11.25" outlineLevel="5" x14ac:dyDescent="0.2">
      <c r="B2682" s="14" t="s">
        <v>5102</v>
      </c>
      <c r="C2682" s="14" t="s">
        <v>5103</v>
      </c>
      <c r="D2682" s="14">
        <v>1</v>
      </c>
      <c r="E2682" s="15">
        <v>194.14</v>
      </c>
      <c r="F2682" s="16" t="s">
        <v>4092</v>
      </c>
      <c r="G2682" s="38" t="str">
        <f>HYPERLINK("http://enext.ua/s015057")</f>
        <v>http://enext.ua/s015057</v>
      </c>
    </row>
    <row r="2683" spans="2:7" ht="11.25" outlineLevel="5" x14ac:dyDescent="0.2">
      <c r="B2683" s="14" t="s">
        <v>5104</v>
      </c>
      <c r="C2683" s="14" t="s">
        <v>5105</v>
      </c>
      <c r="D2683" s="14">
        <v>1</v>
      </c>
      <c r="E2683" s="15">
        <v>194.14</v>
      </c>
      <c r="F2683" s="16" t="s">
        <v>4092</v>
      </c>
      <c r="G2683" s="38" t="str">
        <f>HYPERLINK("http://enext.ua/s015055")</f>
        <v>http://enext.ua/s015055</v>
      </c>
    </row>
    <row r="2684" spans="2:7" ht="11.25" outlineLevel="5" x14ac:dyDescent="0.2">
      <c r="B2684" s="14" t="s">
        <v>5106</v>
      </c>
      <c r="C2684" s="14" t="s">
        <v>5107</v>
      </c>
      <c r="D2684" s="14">
        <v>1</v>
      </c>
      <c r="E2684" s="15">
        <v>194.14</v>
      </c>
      <c r="F2684" s="16" t="s">
        <v>4092</v>
      </c>
      <c r="G2684" s="38" t="str">
        <f>HYPERLINK("http://enext.ua/s015058")</f>
        <v>http://enext.ua/s015058</v>
      </c>
    </row>
    <row r="2685" spans="2:7" ht="12" outlineLevel="4" x14ac:dyDescent="0.2">
      <c r="B2685" s="12"/>
      <c r="C2685" s="37" t="s">
        <v>5108</v>
      </c>
      <c r="D2685" s="12"/>
      <c r="E2685" s="13"/>
      <c r="F2685" s="13"/>
      <c r="G2685" s="12"/>
    </row>
    <row r="2686" spans="2:7" ht="11.25" outlineLevel="5" x14ac:dyDescent="0.2">
      <c r="B2686" s="14" t="s">
        <v>5109</v>
      </c>
      <c r="C2686" s="14" t="s">
        <v>5110</v>
      </c>
      <c r="D2686" s="14">
        <v>1</v>
      </c>
      <c r="E2686" s="15">
        <v>93.72</v>
      </c>
      <c r="F2686" s="16" t="s">
        <v>4092</v>
      </c>
      <c r="G2686" s="38" t="str">
        <f>HYPERLINK("http://enext.ua/s015032")</f>
        <v>http://enext.ua/s015032</v>
      </c>
    </row>
    <row r="2687" spans="2:7" ht="11.25" outlineLevel="5" x14ac:dyDescent="0.2">
      <c r="B2687" s="14" t="s">
        <v>5111</v>
      </c>
      <c r="C2687" s="14" t="s">
        <v>5112</v>
      </c>
      <c r="D2687" s="14">
        <v>1</v>
      </c>
      <c r="E2687" s="15">
        <v>93.72</v>
      </c>
      <c r="F2687" s="16" t="s">
        <v>4092</v>
      </c>
      <c r="G2687" s="38" t="str">
        <f>HYPERLINK("http://enext.ua/s015036")</f>
        <v>http://enext.ua/s015036</v>
      </c>
    </row>
    <row r="2688" spans="2:7" ht="11.25" outlineLevel="5" x14ac:dyDescent="0.2">
      <c r="B2688" s="14" t="s">
        <v>5113</v>
      </c>
      <c r="C2688" s="14" t="s">
        <v>5114</v>
      </c>
      <c r="D2688" s="14">
        <v>1</v>
      </c>
      <c r="E2688" s="15">
        <v>93.72</v>
      </c>
      <c r="F2688" s="16" t="s">
        <v>4092</v>
      </c>
      <c r="G2688" s="38" t="str">
        <f>HYPERLINK("http://enext.ua/s015035")</f>
        <v>http://enext.ua/s015035</v>
      </c>
    </row>
    <row r="2689" spans="2:7" ht="11.25" outlineLevel="5" x14ac:dyDescent="0.2">
      <c r="B2689" s="14" t="s">
        <v>5115</v>
      </c>
      <c r="C2689" s="14" t="s">
        <v>5116</v>
      </c>
      <c r="D2689" s="14">
        <v>1</v>
      </c>
      <c r="E2689" s="15">
        <v>93.72</v>
      </c>
      <c r="F2689" s="16" t="s">
        <v>4092</v>
      </c>
      <c r="G2689" s="38" t="str">
        <f>HYPERLINK("http://enext.ua/s015033")</f>
        <v>http://enext.ua/s015033</v>
      </c>
    </row>
    <row r="2690" spans="2:7" ht="11.25" outlineLevel="5" x14ac:dyDescent="0.2">
      <c r="B2690" s="14" t="s">
        <v>5117</v>
      </c>
      <c r="C2690" s="14" t="s">
        <v>5118</v>
      </c>
      <c r="D2690" s="14">
        <v>1</v>
      </c>
      <c r="E2690" s="15">
        <v>93.72</v>
      </c>
      <c r="F2690" s="16" t="s">
        <v>4092</v>
      </c>
      <c r="G2690" s="38" t="str">
        <f>HYPERLINK("http://enext.ua/s015031")</f>
        <v>http://enext.ua/s015031</v>
      </c>
    </row>
    <row r="2691" spans="2:7" ht="11.25" outlineLevel="5" x14ac:dyDescent="0.2">
      <c r="B2691" s="14" t="s">
        <v>5119</v>
      </c>
      <c r="C2691" s="14" t="s">
        <v>5120</v>
      </c>
      <c r="D2691" s="14">
        <v>1</v>
      </c>
      <c r="E2691" s="15">
        <v>93.72</v>
      </c>
      <c r="F2691" s="16" t="s">
        <v>4092</v>
      </c>
      <c r="G2691" s="38" t="str">
        <f>HYPERLINK("http://enext.ua/s015034")</f>
        <v>http://enext.ua/s015034</v>
      </c>
    </row>
    <row r="2692" spans="2:7" ht="12" outlineLevel="4" x14ac:dyDescent="0.2">
      <c r="B2692" s="12"/>
      <c r="C2692" s="37" t="s">
        <v>5121</v>
      </c>
      <c r="D2692" s="12"/>
      <c r="E2692" s="13"/>
      <c r="F2692" s="13"/>
      <c r="G2692" s="12"/>
    </row>
    <row r="2693" spans="2:7" ht="11.25" outlineLevel="5" x14ac:dyDescent="0.2">
      <c r="B2693" s="14" t="s">
        <v>5122</v>
      </c>
      <c r="C2693" s="14" t="s">
        <v>5123</v>
      </c>
      <c r="D2693" s="14">
        <v>1</v>
      </c>
      <c r="E2693" s="15">
        <v>148.69</v>
      </c>
      <c r="F2693" s="16" t="s">
        <v>4092</v>
      </c>
      <c r="G2693" s="38" t="str">
        <f>HYPERLINK("http://enext.ua/s015111")</f>
        <v>http://enext.ua/s015111</v>
      </c>
    </row>
    <row r="2694" spans="2:7" ht="11.25" outlineLevel="5" x14ac:dyDescent="0.2">
      <c r="B2694" s="14" t="s">
        <v>5124</v>
      </c>
      <c r="C2694" s="14" t="s">
        <v>5125</v>
      </c>
      <c r="D2694" s="14">
        <v>1</v>
      </c>
      <c r="E2694" s="15">
        <v>148.69</v>
      </c>
      <c r="F2694" s="16" t="s">
        <v>4092</v>
      </c>
      <c r="G2694" s="38" t="str">
        <f>HYPERLINK("http://enext.ua/s015008")</f>
        <v>http://enext.ua/s015008</v>
      </c>
    </row>
    <row r="2695" spans="2:7" ht="12" outlineLevel="4" x14ac:dyDescent="0.2">
      <c r="B2695" s="12"/>
      <c r="C2695" s="37" t="s">
        <v>5126</v>
      </c>
      <c r="D2695" s="12"/>
      <c r="E2695" s="13"/>
      <c r="F2695" s="13"/>
      <c r="G2695" s="12"/>
    </row>
    <row r="2696" spans="2:7" ht="11.25" outlineLevel="5" x14ac:dyDescent="0.2">
      <c r="B2696" s="14" t="s">
        <v>5127</v>
      </c>
      <c r="C2696" s="14" t="s">
        <v>5128</v>
      </c>
      <c r="D2696" s="14">
        <v>1</v>
      </c>
      <c r="E2696" s="15">
        <v>251.61</v>
      </c>
      <c r="F2696" s="16" t="s">
        <v>4092</v>
      </c>
      <c r="G2696" s="38" t="str">
        <f>HYPERLINK("http://enext.ua/s015062")</f>
        <v>http://enext.ua/s015062</v>
      </c>
    </row>
    <row r="2697" spans="2:7" ht="11.25" outlineLevel="5" x14ac:dyDescent="0.2">
      <c r="B2697" s="14" t="s">
        <v>5129</v>
      </c>
      <c r="C2697" s="14" t="s">
        <v>5130</v>
      </c>
      <c r="D2697" s="14">
        <v>1</v>
      </c>
      <c r="E2697" s="15">
        <v>251.61</v>
      </c>
      <c r="F2697" s="16" t="s">
        <v>4092</v>
      </c>
      <c r="G2697" s="38" t="str">
        <f>HYPERLINK("http://enext.ua/s015066")</f>
        <v>http://enext.ua/s015066</v>
      </c>
    </row>
    <row r="2698" spans="2:7" ht="11.25" outlineLevel="5" x14ac:dyDescent="0.2">
      <c r="B2698" s="14" t="s">
        <v>5131</v>
      </c>
      <c r="C2698" s="14" t="s">
        <v>5132</v>
      </c>
      <c r="D2698" s="14">
        <v>1</v>
      </c>
      <c r="E2698" s="15">
        <v>251.61</v>
      </c>
      <c r="F2698" s="16" t="s">
        <v>4092</v>
      </c>
      <c r="G2698" s="38" t="str">
        <f>HYPERLINK("http://enext.ua/s015065")</f>
        <v>http://enext.ua/s015065</v>
      </c>
    </row>
    <row r="2699" spans="2:7" ht="11.25" outlineLevel="5" x14ac:dyDescent="0.2">
      <c r="B2699" s="14" t="s">
        <v>5133</v>
      </c>
      <c r="C2699" s="14" t="s">
        <v>5134</v>
      </c>
      <c r="D2699" s="14">
        <v>1</v>
      </c>
      <c r="E2699" s="15">
        <v>251.61</v>
      </c>
      <c r="F2699" s="16" t="s">
        <v>4092</v>
      </c>
      <c r="G2699" s="38" t="str">
        <f>HYPERLINK("http://enext.ua/s015063")</f>
        <v>http://enext.ua/s015063</v>
      </c>
    </row>
    <row r="2700" spans="2:7" ht="11.25" outlineLevel="5" x14ac:dyDescent="0.2">
      <c r="B2700" s="14" t="s">
        <v>5135</v>
      </c>
      <c r="C2700" s="14" t="s">
        <v>5136</v>
      </c>
      <c r="D2700" s="14">
        <v>1</v>
      </c>
      <c r="E2700" s="15">
        <v>251.61</v>
      </c>
      <c r="F2700" s="16" t="s">
        <v>4092</v>
      </c>
      <c r="G2700" s="38" t="str">
        <f>HYPERLINK("http://enext.ua/s015061")</f>
        <v>http://enext.ua/s015061</v>
      </c>
    </row>
    <row r="2701" spans="2:7" ht="11.25" outlineLevel="5" x14ac:dyDescent="0.2">
      <c r="B2701" s="14" t="s">
        <v>5137</v>
      </c>
      <c r="C2701" s="14" t="s">
        <v>5138</v>
      </c>
      <c r="D2701" s="14">
        <v>1</v>
      </c>
      <c r="E2701" s="15">
        <v>251.61</v>
      </c>
      <c r="F2701" s="16" t="s">
        <v>4092</v>
      </c>
      <c r="G2701" s="38" t="str">
        <f>HYPERLINK("http://enext.ua/s015064")</f>
        <v>http://enext.ua/s015064</v>
      </c>
    </row>
    <row r="2702" spans="2:7" ht="12" outlineLevel="4" x14ac:dyDescent="0.2">
      <c r="B2702" s="12"/>
      <c r="C2702" s="37" t="s">
        <v>5139</v>
      </c>
      <c r="D2702" s="12"/>
      <c r="E2702" s="13"/>
      <c r="F2702" s="13"/>
      <c r="G2702" s="12"/>
    </row>
    <row r="2703" spans="2:7" ht="11.25" outlineLevel="5" x14ac:dyDescent="0.2">
      <c r="B2703" s="14" t="s">
        <v>5140</v>
      </c>
      <c r="C2703" s="14" t="s">
        <v>5141</v>
      </c>
      <c r="D2703" s="14">
        <v>1</v>
      </c>
      <c r="E2703" s="15">
        <v>299.31</v>
      </c>
      <c r="F2703" s="16" t="s">
        <v>4092</v>
      </c>
      <c r="G2703" s="38" t="str">
        <f>HYPERLINK("http://enext.ua/s015009")</f>
        <v>http://enext.ua/s015009</v>
      </c>
    </row>
    <row r="2704" spans="2:7" ht="11.25" outlineLevel="5" x14ac:dyDescent="0.2">
      <c r="B2704" s="14" t="s">
        <v>5142</v>
      </c>
      <c r="C2704" s="14" t="s">
        <v>5143</v>
      </c>
      <c r="D2704" s="14">
        <v>1</v>
      </c>
      <c r="E2704" s="15">
        <v>299.31</v>
      </c>
      <c r="F2704" s="16" t="s">
        <v>4092</v>
      </c>
      <c r="G2704" s="38" t="str">
        <f>HYPERLINK("http://enext.ua/s015118")</f>
        <v>http://enext.ua/s015118</v>
      </c>
    </row>
    <row r="2705" spans="2:7" ht="12" outlineLevel="4" x14ac:dyDescent="0.2">
      <c r="B2705" s="12"/>
      <c r="C2705" s="37" t="s">
        <v>5144</v>
      </c>
      <c r="D2705" s="12"/>
      <c r="E2705" s="13"/>
      <c r="F2705" s="13"/>
      <c r="G2705" s="12"/>
    </row>
    <row r="2706" spans="2:7" ht="11.25" outlineLevel="5" x14ac:dyDescent="0.2">
      <c r="B2706" s="14" t="s">
        <v>5145</v>
      </c>
      <c r="C2706" s="14" t="s">
        <v>5146</v>
      </c>
      <c r="D2706" s="14">
        <v>1</v>
      </c>
      <c r="E2706" s="15">
        <v>675.25</v>
      </c>
      <c r="F2706" s="16" t="s">
        <v>4092</v>
      </c>
      <c r="G2706" s="38" t="str">
        <f>HYPERLINK("http://enext.ua/s015068")</f>
        <v>http://enext.ua/s015068</v>
      </c>
    </row>
    <row r="2707" spans="2:7" ht="11.25" outlineLevel="5" x14ac:dyDescent="0.2">
      <c r="B2707" s="14" t="s">
        <v>5147</v>
      </c>
      <c r="C2707" s="14" t="s">
        <v>5148</v>
      </c>
      <c r="D2707" s="14">
        <v>1</v>
      </c>
      <c r="E2707" s="15">
        <v>675.25</v>
      </c>
      <c r="F2707" s="16" t="s">
        <v>4092</v>
      </c>
      <c r="G2707" s="38" t="str">
        <f>HYPERLINK("http://enext.ua/s015067")</f>
        <v>http://enext.ua/s015067</v>
      </c>
    </row>
    <row r="2708" spans="2:7" ht="12" outlineLevel="4" x14ac:dyDescent="0.2">
      <c r="B2708" s="12"/>
      <c r="C2708" s="37" t="s">
        <v>5149</v>
      </c>
      <c r="D2708" s="12"/>
      <c r="E2708" s="13"/>
      <c r="F2708" s="13"/>
      <c r="G2708" s="12"/>
    </row>
    <row r="2709" spans="2:7" ht="11.25" outlineLevel="5" x14ac:dyDescent="0.2">
      <c r="B2709" s="14" t="s">
        <v>5150</v>
      </c>
      <c r="C2709" s="14" t="s">
        <v>5151</v>
      </c>
      <c r="D2709" s="14">
        <v>1</v>
      </c>
      <c r="E2709" s="15">
        <v>911.01</v>
      </c>
      <c r="F2709" s="16" t="s">
        <v>4092</v>
      </c>
      <c r="G2709" s="38" t="str">
        <f>HYPERLINK("http://enext.ua/s015074")</f>
        <v>http://enext.ua/s015074</v>
      </c>
    </row>
    <row r="2710" spans="2:7" ht="11.25" outlineLevel="5" x14ac:dyDescent="0.2">
      <c r="B2710" s="14" t="s">
        <v>5152</v>
      </c>
      <c r="C2710" s="14" t="s">
        <v>5153</v>
      </c>
      <c r="D2710" s="14">
        <v>1</v>
      </c>
      <c r="E2710" s="15">
        <v>911.01</v>
      </c>
      <c r="F2710" s="16" t="s">
        <v>4092</v>
      </c>
      <c r="G2710" s="38" t="str">
        <f>HYPERLINK("http://enext.ua/s015073")</f>
        <v>http://enext.ua/s015073</v>
      </c>
    </row>
    <row r="2711" spans="2:7" ht="12" outlineLevel="3" x14ac:dyDescent="0.2">
      <c r="B2711" s="10"/>
      <c r="C2711" s="36" t="s">
        <v>5154</v>
      </c>
      <c r="D2711" s="10"/>
      <c r="E2711" s="11"/>
      <c r="F2711" s="11"/>
      <c r="G2711" s="10"/>
    </row>
    <row r="2712" spans="2:7" ht="11.25" outlineLevel="4" x14ac:dyDescent="0.2">
      <c r="B2712" s="14" t="s">
        <v>5155</v>
      </c>
      <c r="C2712" s="14" t="s">
        <v>5156</v>
      </c>
      <c r="D2712" s="14">
        <v>100</v>
      </c>
      <c r="E2712" s="15">
        <v>55.78</v>
      </c>
      <c r="F2712" s="16" t="s">
        <v>8</v>
      </c>
      <c r="G2712" s="38" t="str">
        <f>HYPERLINK("http://enext.ua/s019094")</f>
        <v>http://enext.ua/s019094</v>
      </c>
    </row>
    <row r="2713" spans="2:7" ht="11.25" outlineLevel="4" x14ac:dyDescent="0.2">
      <c r="B2713" s="14" t="s">
        <v>5157</v>
      </c>
      <c r="C2713" s="14" t="s">
        <v>5158</v>
      </c>
      <c r="D2713" s="14">
        <v>100</v>
      </c>
      <c r="E2713" s="15">
        <v>57.27</v>
      </c>
      <c r="F2713" s="16" t="s">
        <v>8</v>
      </c>
      <c r="G2713" s="38" t="str">
        <f>HYPERLINK("http://enext.ua/s019095")</f>
        <v>http://enext.ua/s019095</v>
      </c>
    </row>
    <row r="2714" spans="2:7" ht="11.25" outlineLevel="4" x14ac:dyDescent="0.2">
      <c r="B2714" s="14" t="s">
        <v>5159</v>
      </c>
      <c r="C2714" s="14" t="s">
        <v>5160</v>
      </c>
      <c r="D2714" s="14">
        <v>100</v>
      </c>
      <c r="E2714" s="15">
        <v>50.91</v>
      </c>
      <c r="F2714" s="16" t="s">
        <v>8</v>
      </c>
      <c r="G2714" s="38" t="str">
        <f>HYPERLINK("http://enext.ua/s019096")</f>
        <v>http://enext.ua/s019096</v>
      </c>
    </row>
    <row r="2715" spans="2:7" ht="11.25" outlineLevel="4" x14ac:dyDescent="0.2">
      <c r="B2715" s="14" t="s">
        <v>5161</v>
      </c>
      <c r="C2715" s="14" t="s">
        <v>5162</v>
      </c>
      <c r="D2715" s="14">
        <v>100</v>
      </c>
      <c r="E2715" s="15">
        <v>22.27</v>
      </c>
      <c r="F2715" s="16" t="s">
        <v>8</v>
      </c>
      <c r="G2715" s="38" t="str">
        <f>HYPERLINK("http://enext.ua/s019091")</f>
        <v>http://enext.ua/s019091</v>
      </c>
    </row>
    <row r="2716" spans="2:7" ht="11.25" outlineLevel="4" x14ac:dyDescent="0.2">
      <c r="B2716" s="14" t="s">
        <v>5163</v>
      </c>
      <c r="C2716" s="14" t="s">
        <v>5164</v>
      </c>
      <c r="D2716" s="14">
        <v>100</v>
      </c>
      <c r="E2716" s="15">
        <v>28.17</v>
      </c>
      <c r="F2716" s="16" t="s">
        <v>8</v>
      </c>
      <c r="G2716" s="38" t="str">
        <f>HYPERLINK("http://enext.ua/s019092")</f>
        <v>http://enext.ua/s019092</v>
      </c>
    </row>
    <row r="2717" spans="2:7" ht="11.25" outlineLevel="4" x14ac:dyDescent="0.2">
      <c r="B2717" s="14" t="s">
        <v>5165</v>
      </c>
      <c r="C2717" s="14" t="s">
        <v>5166</v>
      </c>
      <c r="D2717" s="14">
        <v>100</v>
      </c>
      <c r="E2717" s="15">
        <v>30.55</v>
      </c>
      <c r="F2717" s="16" t="s">
        <v>8</v>
      </c>
      <c r="G2717" s="38" t="str">
        <f>HYPERLINK("http://enext.ua/s019093")</f>
        <v>http://enext.ua/s019093</v>
      </c>
    </row>
    <row r="2718" spans="2:7" ht="12" outlineLevel="3" x14ac:dyDescent="0.2">
      <c r="B2718" s="10"/>
      <c r="C2718" s="36" t="s">
        <v>5167</v>
      </c>
      <c r="D2718" s="10"/>
      <c r="E2718" s="11"/>
      <c r="F2718" s="11"/>
      <c r="G2718" s="10"/>
    </row>
    <row r="2719" spans="2:7" ht="11.25" outlineLevel="4" x14ac:dyDescent="0.2">
      <c r="B2719" s="14" t="s">
        <v>5168</v>
      </c>
      <c r="C2719" s="14" t="s">
        <v>5169</v>
      </c>
      <c r="D2719" s="14">
        <v>1</v>
      </c>
      <c r="E2719" s="15">
        <v>94.84</v>
      </c>
      <c r="F2719" s="16" t="s">
        <v>4092</v>
      </c>
      <c r="G2719" s="38" t="str">
        <f>HYPERLINK("http://enext.ua/s170004")</f>
        <v>http://enext.ua/s170004</v>
      </c>
    </row>
    <row r="2720" spans="2:7" ht="11.25" outlineLevel="4" x14ac:dyDescent="0.2">
      <c r="B2720" s="14" t="s">
        <v>5170</v>
      </c>
      <c r="C2720" s="14" t="s">
        <v>5171</v>
      </c>
      <c r="D2720" s="14">
        <v>1</v>
      </c>
      <c r="E2720" s="15">
        <v>42.96</v>
      </c>
      <c r="F2720" s="16" t="s">
        <v>4092</v>
      </c>
      <c r="G2720" s="38" t="str">
        <f>HYPERLINK("http://enext.ua/s170001")</f>
        <v>http://enext.ua/s170001</v>
      </c>
    </row>
    <row r="2721" spans="2:7" ht="11.25" outlineLevel="4" x14ac:dyDescent="0.2">
      <c r="B2721" s="14" t="s">
        <v>5172</v>
      </c>
      <c r="C2721" s="14" t="s">
        <v>5173</v>
      </c>
      <c r="D2721" s="14">
        <v>1</v>
      </c>
      <c r="E2721" s="15">
        <v>58.83</v>
      </c>
      <c r="F2721" s="16" t="s">
        <v>4092</v>
      </c>
      <c r="G2721" s="38" t="str">
        <f>HYPERLINK("http://enext.ua/s170002")</f>
        <v>http://enext.ua/s170002</v>
      </c>
    </row>
    <row r="2722" spans="2:7" ht="11.25" outlineLevel="4" x14ac:dyDescent="0.2">
      <c r="B2722" s="14" t="s">
        <v>5174</v>
      </c>
      <c r="C2722" s="14" t="s">
        <v>5175</v>
      </c>
      <c r="D2722" s="14">
        <v>1</v>
      </c>
      <c r="E2722" s="15">
        <v>83.68</v>
      </c>
      <c r="F2722" s="16" t="s">
        <v>4092</v>
      </c>
      <c r="G2722" s="38" t="str">
        <f>HYPERLINK("http://enext.ua/s170003")</f>
        <v>http://enext.ua/s170003</v>
      </c>
    </row>
    <row r="2723" spans="2:7" ht="12" outlineLevel="3" x14ac:dyDescent="0.2">
      <c r="B2723" s="10"/>
      <c r="C2723" s="36" t="s">
        <v>5176</v>
      </c>
      <c r="D2723" s="10"/>
      <c r="E2723" s="11"/>
      <c r="F2723" s="11"/>
      <c r="G2723" s="10"/>
    </row>
    <row r="2724" spans="2:7" ht="11.25" outlineLevel="4" x14ac:dyDescent="0.2">
      <c r="B2724" s="14" t="s">
        <v>5177</v>
      </c>
      <c r="C2724" s="14" t="s">
        <v>5178</v>
      </c>
      <c r="D2724" s="14">
        <v>1</v>
      </c>
      <c r="E2724" s="15">
        <v>462.49</v>
      </c>
      <c r="F2724" s="16" t="s">
        <v>4092</v>
      </c>
      <c r="G2724" s="38" t="str">
        <f>HYPERLINK("http://enext.ua/s057002")</f>
        <v>http://enext.ua/s057002</v>
      </c>
    </row>
    <row r="2725" spans="2:7" ht="24" outlineLevel="3" x14ac:dyDescent="0.2">
      <c r="B2725" s="10"/>
      <c r="C2725" s="36" t="s">
        <v>5179</v>
      </c>
      <c r="D2725" s="10"/>
      <c r="E2725" s="11"/>
      <c r="F2725" s="11"/>
      <c r="G2725" s="10"/>
    </row>
    <row r="2726" spans="2:7" ht="22.5" outlineLevel="4" x14ac:dyDescent="0.2">
      <c r="B2726" s="14" t="s">
        <v>5180</v>
      </c>
      <c r="C2726" s="14" t="s">
        <v>5181</v>
      </c>
      <c r="D2726" s="14">
        <v>1</v>
      </c>
      <c r="E2726" s="15">
        <v>61.35</v>
      </c>
      <c r="F2726" s="16" t="s">
        <v>4092</v>
      </c>
      <c r="G2726" s="38" t="str">
        <f>HYPERLINK("http://enext.ua/s0430008")</f>
        <v>http://enext.ua/s0430008</v>
      </c>
    </row>
    <row r="2727" spans="2:7" ht="22.5" outlineLevel="4" x14ac:dyDescent="0.2">
      <c r="B2727" s="14" t="s">
        <v>5182</v>
      </c>
      <c r="C2727" s="14" t="s">
        <v>5183</v>
      </c>
      <c r="D2727" s="14">
        <v>1</v>
      </c>
      <c r="E2727" s="15">
        <v>47.72</v>
      </c>
      <c r="F2727" s="16" t="s">
        <v>4092</v>
      </c>
      <c r="G2727" s="38" t="str">
        <f>HYPERLINK("http://enext.ua/s0430006")</f>
        <v>http://enext.ua/s0430006</v>
      </c>
    </row>
    <row r="2728" spans="2:7" ht="22.5" outlineLevel="4" x14ac:dyDescent="0.2">
      <c r="B2728" s="14" t="s">
        <v>5184</v>
      </c>
      <c r="C2728" s="14" t="s">
        <v>5185</v>
      </c>
      <c r="D2728" s="14">
        <v>1</v>
      </c>
      <c r="E2728" s="15">
        <v>48.1</v>
      </c>
      <c r="F2728" s="16" t="s">
        <v>4092</v>
      </c>
      <c r="G2728" s="38" t="str">
        <f>HYPERLINK("http://enext.ua/s0430007")</f>
        <v>http://enext.ua/s0430007</v>
      </c>
    </row>
    <row r="2729" spans="2:7" ht="22.5" outlineLevel="4" x14ac:dyDescent="0.2">
      <c r="B2729" s="14" t="s">
        <v>5186</v>
      </c>
      <c r="C2729" s="14" t="s">
        <v>5187</v>
      </c>
      <c r="D2729" s="14">
        <v>1</v>
      </c>
      <c r="E2729" s="15">
        <v>27.1</v>
      </c>
      <c r="F2729" s="16" t="s">
        <v>4092</v>
      </c>
      <c r="G2729" s="14"/>
    </row>
    <row r="2730" spans="2:7" ht="11.25" outlineLevel="4" x14ac:dyDescent="0.2">
      <c r="B2730" s="14" t="s">
        <v>5188</v>
      </c>
      <c r="C2730" s="14" t="s">
        <v>5189</v>
      </c>
      <c r="D2730" s="14">
        <v>1</v>
      </c>
      <c r="E2730" s="15">
        <v>70.14</v>
      </c>
      <c r="F2730" s="16" t="s">
        <v>4092</v>
      </c>
      <c r="G2730" s="38" t="str">
        <f>HYPERLINK("http://enext.ua/s0430009")</f>
        <v>http://enext.ua/s0430009</v>
      </c>
    </row>
    <row r="2731" spans="2:7" ht="11.25" outlineLevel="4" x14ac:dyDescent="0.2">
      <c r="B2731" s="14" t="s">
        <v>5190</v>
      </c>
      <c r="C2731" s="14" t="s">
        <v>5191</v>
      </c>
      <c r="D2731" s="14">
        <v>1</v>
      </c>
      <c r="E2731" s="15">
        <v>75.540000000000006</v>
      </c>
      <c r="F2731" s="16" t="s">
        <v>4092</v>
      </c>
      <c r="G2731" s="38" t="str">
        <f>HYPERLINK("http://enext.ua/s0430010")</f>
        <v>http://enext.ua/s0430010</v>
      </c>
    </row>
    <row r="2732" spans="2:7" ht="11.25" outlineLevel="4" x14ac:dyDescent="0.2">
      <c r="B2732" s="14" t="s">
        <v>5192</v>
      </c>
      <c r="C2732" s="14" t="s">
        <v>5193</v>
      </c>
      <c r="D2732" s="14">
        <v>1</v>
      </c>
      <c r="E2732" s="15">
        <v>100.05</v>
      </c>
      <c r="F2732" s="16" t="s">
        <v>4092</v>
      </c>
      <c r="G2732" s="38" t="str">
        <f>HYPERLINK("http://enext.ua/s0430001")</f>
        <v>http://enext.ua/s0430001</v>
      </c>
    </row>
    <row r="2733" spans="2:7" ht="11.25" outlineLevel="4" x14ac:dyDescent="0.2">
      <c r="B2733" s="14" t="s">
        <v>5194</v>
      </c>
      <c r="C2733" s="14" t="s">
        <v>5195</v>
      </c>
      <c r="D2733" s="14">
        <v>1</v>
      </c>
      <c r="E2733" s="15">
        <v>114.58</v>
      </c>
      <c r="F2733" s="16" t="s">
        <v>4092</v>
      </c>
      <c r="G2733" s="38" t="str">
        <f>HYPERLINK("http://enext.ua/s0430002")</f>
        <v>http://enext.ua/s0430002</v>
      </c>
    </row>
    <row r="2734" spans="2:7" ht="11.25" outlineLevel="4" x14ac:dyDescent="0.2">
      <c r="B2734" s="14" t="s">
        <v>5196</v>
      </c>
      <c r="C2734" s="14" t="s">
        <v>5197</v>
      </c>
      <c r="D2734" s="14">
        <v>1</v>
      </c>
      <c r="E2734" s="15">
        <v>114.58</v>
      </c>
      <c r="F2734" s="16" t="s">
        <v>4092</v>
      </c>
      <c r="G2734" s="38" t="str">
        <f>HYPERLINK("http://enext.ua/s0430003")</f>
        <v>http://enext.ua/s0430003</v>
      </c>
    </row>
    <row r="2735" spans="2:7" ht="11.25" outlineLevel="4" x14ac:dyDescent="0.2">
      <c r="B2735" s="14" t="s">
        <v>5198</v>
      </c>
      <c r="C2735" s="14" t="s">
        <v>5199</v>
      </c>
      <c r="D2735" s="14">
        <v>1</v>
      </c>
      <c r="E2735" s="15">
        <v>103.28</v>
      </c>
      <c r="F2735" s="16" t="s">
        <v>4092</v>
      </c>
      <c r="G2735" s="38" t="str">
        <f>HYPERLINK("http://enext.ua/s0430004")</f>
        <v>http://enext.ua/s0430004</v>
      </c>
    </row>
    <row r="2736" spans="2:7" ht="11.25" outlineLevel="4" x14ac:dyDescent="0.2">
      <c r="B2736" s="14" t="s">
        <v>5200</v>
      </c>
      <c r="C2736" s="14" t="s">
        <v>5201</v>
      </c>
      <c r="D2736" s="14">
        <v>1</v>
      </c>
      <c r="E2736" s="15">
        <v>111.34</v>
      </c>
      <c r="F2736" s="16" t="s">
        <v>4092</v>
      </c>
      <c r="G2736" s="38" t="str">
        <f>HYPERLINK("http://enext.ua/s0430005")</f>
        <v>http://enext.ua/s0430005</v>
      </c>
    </row>
    <row r="2737" spans="2:7" ht="11.25" outlineLevel="4" x14ac:dyDescent="0.2">
      <c r="B2737" s="14" t="s">
        <v>5202</v>
      </c>
      <c r="C2737" s="14" t="s">
        <v>5203</v>
      </c>
      <c r="D2737" s="14">
        <v>1</v>
      </c>
      <c r="E2737" s="15">
        <v>280</v>
      </c>
      <c r="F2737" s="16" t="s">
        <v>4092</v>
      </c>
      <c r="G2737" s="38" t="str">
        <f>HYPERLINK("http://enext.ua/s0430011")</f>
        <v>http://enext.ua/s0430011</v>
      </c>
    </row>
    <row r="2738" spans="2:7" ht="11.25" outlineLevel="4" x14ac:dyDescent="0.2">
      <c r="B2738" s="14" t="s">
        <v>5204</v>
      </c>
      <c r="C2738" s="14" t="s">
        <v>5205</v>
      </c>
      <c r="D2738" s="14">
        <v>1</v>
      </c>
      <c r="E2738" s="15">
        <v>330.1</v>
      </c>
      <c r="F2738" s="16" t="s">
        <v>4092</v>
      </c>
      <c r="G2738" s="38" t="str">
        <f>HYPERLINK("http://enext.ua/s0430012")</f>
        <v>http://enext.ua/s0430012</v>
      </c>
    </row>
    <row r="2739" spans="2:7" ht="11.25" outlineLevel="4" x14ac:dyDescent="0.2">
      <c r="B2739" s="14" t="s">
        <v>5206</v>
      </c>
      <c r="C2739" s="14" t="s">
        <v>5207</v>
      </c>
      <c r="D2739" s="14">
        <v>1</v>
      </c>
      <c r="E2739" s="15">
        <v>59.35</v>
      </c>
      <c r="F2739" s="16" t="s">
        <v>4092</v>
      </c>
      <c r="G2739" s="38" t="str">
        <f>HYPERLINK("http://enext.ua/s0430013")</f>
        <v>http://enext.ua/s0430013</v>
      </c>
    </row>
    <row r="2740" spans="2:7" ht="11.25" outlineLevel="4" x14ac:dyDescent="0.2">
      <c r="B2740" s="14" t="s">
        <v>5208</v>
      </c>
      <c r="C2740" s="14" t="s">
        <v>5209</v>
      </c>
      <c r="D2740" s="14">
        <v>1</v>
      </c>
      <c r="E2740" s="15">
        <v>125.18</v>
      </c>
      <c r="F2740" s="16" t="s">
        <v>4092</v>
      </c>
      <c r="G2740" s="38" t="str">
        <f>HYPERLINK("http://enext.ua/s0430028")</f>
        <v>http://enext.ua/s0430028</v>
      </c>
    </row>
    <row r="2741" spans="2:7" ht="11.25" outlineLevel="4" x14ac:dyDescent="0.2">
      <c r="B2741" s="14" t="s">
        <v>5210</v>
      </c>
      <c r="C2741" s="14" t="s">
        <v>5211</v>
      </c>
      <c r="D2741" s="14">
        <v>1</v>
      </c>
      <c r="E2741" s="15">
        <v>156.47</v>
      </c>
      <c r="F2741" s="16" t="s">
        <v>4092</v>
      </c>
      <c r="G2741" s="38" t="str">
        <f>HYPERLINK("http://enext.ua/s0430029")</f>
        <v>http://enext.ua/s0430029</v>
      </c>
    </row>
    <row r="2742" spans="2:7" ht="11.25" outlineLevel="4" x14ac:dyDescent="0.2">
      <c r="B2742" s="14" t="s">
        <v>5212</v>
      </c>
      <c r="C2742" s="14" t="s">
        <v>5213</v>
      </c>
      <c r="D2742" s="14">
        <v>1</v>
      </c>
      <c r="E2742" s="15">
        <v>37.630000000000003</v>
      </c>
      <c r="F2742" s="16" t="s">
        <v>4092</v>
      </c>
      <c r="G2742" s="38" t="str">
        <f>HYPERLINK("http://enext.ua/s0430129")</f>
        <v>http://enext.ua/s0430129</v>
      </c>
    </row>
    <row r="2743" spans="2:7" ht="11.25" outlineLevel="4" x14ac:dyDescent="0.2">
      <c r="B2743" s="14" t="s">
        <v>5214</v>
      </c>
      <c r="C2743" s="14" t="s">
        <v>5215</v>
      </c>
      <c r="D2743" s="14">
        <v>1</v>
      </c>
      <c r="E2743" s="15">
        <v>187.76</v>
      </c>
      <c r="F2743" s="16" t="s">
        <v>4092</v>
      </c>
      <c r="G2743" s="38" t="str">
        <f>HYPERLINK("http://enext.ua/s0430030")</f>
        <v>http://enext.ua/s0430030</v>
      </c>
    </row>
    <row r="2744" spans="2:7" ht="12" outlineLevel="3" x14ac:dyDescent="0.2">
      <c r="B2744" s="10"/>
      <c r="C2744" s="36" t="s">
        <v>5216</v>
      </c>
      <c r="D2744" s="10"/>
      <c r="E2744" s="11"/>
      <c r="F2744" s="11"/>
      <c r="G2744" s="10"/>
    </row>
    <row r="2745" spans="2:7" ht="11.25" outlineLevel="4" x14ac:dyDescent="0.2">
      <c r="B2745" s="14" t="s">
        <v>5217</v>
      </c>
      <c r="C2745" s="14" t="s">
        <v>5218</v>
      </c>
      <c r="D2745" s="14">
        <v>1</v>
      </c>
      <c r="E2745" s="15">
        <v>20.91</v>
      </c>
      <c r="F2745" s="20">
        <v>100</v>
      </c>
      <c r="G2745" s="38" t="str">
        <f>HYPERLINK("http://enext.ua/m0060036")</f>
        <v>http://enext.ua/m0060036</v>
      </c>
    </row>
    <row r="2746" spans="2:7" ht="22.5" outlineLevel="4" x14ac:dyDescent="0.2">
      <c r="B2746" s="14" t="s">
        <v>5219</v>
      </c>
      <c r="C2746" s="14" t="s">
        <v>5220</v>
      </c>
      <c r="D2746" s="14">
        <v>1</v>
      </c>
      <c r="E2746" s="15">
        <v>33.270000000000003</v>
      </c>
      <c r="F2746" s="20">
        <v>100</v>
      </c>
      <c r="G2746" s="38" t="str">
        <f>HYPERLINK("http://enext.ua/m0060006")</f>
        <v>http://enext.ua/m0060006</v>
      </c>
    </row>
    <row r="2747" spans="2:7" ht="22.5" outlineLevel="4" x14ac:dyDescent="0.2">
      <c r="B2747" s="14" t="s">
        <v>5221</v>
      </c>
      <c r="C2747" s="14" t="s">
        <v>5222</v>
      </c>
      <c r="D2747" s="14">
        <v>1</v>
      </c>
      <c r="E2747" s="15">
        <v>33.270000000000003</v>
      </c>
      <c r="F2747" s="20">
        <v>100</v>
      </c>
      <c r="G2747" s="38" t="str">
        <f>HYPERLINK("http://enext.ua/m0080017")</f>
        <v>http://enext.ua/m0080017</v>
      </c>
    </row>
    <row r="2748" spans="2:7" ht="22.5" outlineLevel="4" x14ac:dyDescent="0.2">
      <c r="B2748" s="14" t="s">
        <v>5223</v>
      </c>
      <c r="C2748" s="14" t="s">
        <v>5224</v>
      </c>
      <c r="D2748" s="14">
        <v>1</v>
      </c>
      <c r="E2748" s="15">
        <v>33.270000000000003</v>
      </c>
      <c r="F2748" s="20">
        <v>100</v>
      </c>
      <c r="G2748" s="38" t="str">
        <f>HYPERLINK("http://enext.ua/m0060037")</f>
        <v>http://enext.ua/m0060037</v>
      </c>
    </row>
    <row r="2749" spans="2:7" ht="11.25" outlineLevel="4" x14ac:dyDescent="0.2">
      <c r="B2749" s="14" t="s">
        <v>5225</v>
      </c>
      <c r="C2749" s="14" t="s">
        <v>5226</v>
      </c>
      <c r="D2749" s="14">
        <v>100</v>
      </c>
      <c r="E2749" s="15">
        <v>54.22</v>
      </c>
      <c r="F2749" s="20">
        <v>100</v>
      </c>
      <c r="G2749" s="38" t="str">
        <f>HYPERLINK("http://enext.ua/m0060027")</f>
        <v>http://enext.ua/m0060027</v>
      </c>
    </row>
    <row r="2750" spans="2:7" ht="22.5" outlineLevel="4" x14ac:dyDescent="0.2">
      <c r="B2750" s="14" t="s">
        <v>5227</v>
      </c>
      <c r="C2750" s="14" t="s">
        <v>5228</v>
      </c>
      <c r="D2750" s="14">
        <v>1</v>
      </c>
      <c r="E2750" s="15">
        <v>70.430000000000007</v>
      </c>
      <c r="F2750" s="20">
        <v>100</v>
      </c>
      <c r="G2750" s="38" t="str">
        <f>HYPERLINK("http://enext.ua/m0060028")</f>
        <v>http://enext.ua/m0060028</v>
      </c>
    </row>
    <row r="2751" spans="2:7" ht="22.5" outlineLevel="4" x14ac:dyDescent="0.2">
      <c r="B2751" s="14" t="s">
        <v>5229</v>
      </c>
      <c r="C2751" s="14" t="s">
        <v>5230</v>
      </c>
      <c r="D2751" s="14">
        <v>1</v>
      </c>
      <c r="E2751" s="15">
        <v>93.1</v>
      </c>
      <c r="F2751" s="20">
        <v>100</v>
      </c>
      <c r="G2751" s="38" t="str">
        <f>HYPERLINK("http://enext.ua/m0060030")</f>
        <v>http://enext.ua/m0060030</v>
      </c>
    </row>
    <row r="2752" spans="2:7" ht="11.25" outlineLevel="4" x14ac:dyDescent="0.2">
      <c r="B2752" s="14" t="s">
        <v>5231</v>
      </c>
      <c r="C2752" s="14" t="s">
        <v>5232</v>
      </c>
      <c r="D2752" s="14">
        <v>1</v>
      </c>
      <c r="E2752" s="15">
        <v>120.98</v>
      </c>
      <c r="F2752" s="20">
        <v>100</v>
      </c>
      <c r="G2752" s="38" t="str">
        <f>HYPERLINK("http://enext.ua/m0060031")</f>
        <v>http://enext.ua/m0060031</v>
      </c>
    </row>
    <row r="2753" spans="2:7" ht="11.25" outlineLevel="4" x14ac:dyDescent="0.2">
      <c r="B2753" s="14" t="s">
        <v>5233</v>
      </c>
      <c r="C2753" s="14" t="s">
        <v>5234</v>
      </c>
      <c r="D2753" s="14">
        <v>1</v>
      </c>
      <c r="E2753" s="15">
        <v>26.49</v>
      </c>
      <c r="F2753" s="20">
        <v>100</v>
      </c>
      <c r="G2753" s="38" t="str">
        <f>HYPERLINK("http://enext.ua/m0080011")</f>
        <v>http://enext.ua/m0080011</v>
      </c>
    </row>
    <row r="2754" spans="2:7" ht="11.25" outlineLevel="4" x14ac:dyDescent="0.2">
      <c r="B2754" s="14" t="s">
        <v>5235</v>
      </c>
      <c r="C2754" s="14" t="s">
        <v>5236</v>
      </c>
      <c r="D2754" s="14">
        <v>1</v>
      </c>
      <c r="E2754" s="15">
        <v>29.71</v>
      </c>
      <c r="F2754" s="20">
        <v>100</v>
      </c>
      <c r="G2754" s="38" t="str">
        <f>HYPERLINK("http://enext.ua/m0080012")</f>
        <v>http://enext.ua/m0080012</v>
      </c>
    </row>
    <row r="2755" spans="2:7" ht="11.25" outlineLevel="4" x14ac:dyDescent="0.2">
      <c r="B2755" s="14" t="s">
        <v>5237</v>
      </c>
      <c r="C2755" s="14" t="s">
        <v>5238</v>
      </c>
      <c r="D2755" s="14">
        <v>1</v>
      </c>
      <c r="E2755" s="15">
        <v>29.71</v>
      </c>
      <c r="F2755" s="16" t="s">
        <v>4092</v>
      </c>
      <c r="G2755" s="38" t="str">
        <f>HYPERLINK("http://enext.ua/m0080112")</f>
        <v>http://enext.ua/m0080112</v>
      </c>
    </row>
    <row r="2756" spans="2:7" ht="11.25" outlineLevel="4" x14ac:dyDescent="0.2">
      <c r="B2756" s="14" t="s">
        <v>5239</v>
      </c>
      <c r="C2756" s="14" t="s">
        <v>5240</v>
      </c>
      <c r="D2756" s="14">
        <v>1</v>
      </c>
      <c r="E2756" s="15">
        <v>29.71</v>
      </c>
      <c r="F2756" s="16" t="s">
        <v>4092</v>
      </c>
      <c r="G2756" s="38" t="str">
        <f>HYPERLINK("http://enext.ua/m0080113")</f>
        <v>http://enext.ua/m0080113</v>
      </c>
    </row>
    <row r="2757" spans="2:7" ht="11.25" outlineLevel="4" x14ac:dyDescent="0.2">
      <c r="B2757" s="14" t="s">
        <v>5241</v>
      </c>
      <c r="C2757" s="14" t="s">
        <v>5242</v>
      </c>
      <c r="D2757" s="14">
        <v>1</v>
      </c>
      <c r="E2757" s="15">
        <v>24</v>
      </c>
      <c r="F2757" s="20">
        <v>100</v>
      </c>
      <c r="G2757" s="38" t="str">
        <f>HYPERLINK("http://enext.ua/m0080018")</f>
        <v>http://enext.ua/m0080018</v>
      </c>
    </row>
    <row r="2758" spans="2:7" ht="11.25" outlineLevel="4" x14ac:dyDescent="0.2">
      <c r="B2758" s="14" t="s">
        <v>5243</v>
      </c>
      <c r="C2758" s="14" t="s">
        <v>5244</v>
      </c>
      <c r="D2758" s="14">
        <v>1</v>
      </c>
      <c r="E2758" s="15">
        <v>19.72</v>
      </c>
      <c r="F2758" s="20">
        <v>100</v>
      </c>
      <c r="G2758" s="38" t="str">
        <f>HYPERLINK("http://enext.ua/m0080009")</f>
        <v>http://enext.ua/m0080009</v>
      </c>
    </row>
    <row r="2759" spans="2:7" ht="11.25" outlineLevel="4" x14ac:dyDescent="0.2">
      <c r="B2759" s="14" t="s">
        <v>5245</v>
      </c>
      <c r="C2759" s="14" t="s">
        <v>5246</v>
      </c>
      <c r="D2759" s="14">
        <v>1</v>
      </c>
      <c r="E2759" s="15">
        <v>26.49</v>
      </c>
      <c r="F2759" s="20">
        <v>100</v>
      </c>
      <c r="G2759" s="38" t="str">
        <f>HYPERLINK("http://enext.ua/m0080010")</f>
        <v>http://enext.ua/m0080010</v>
      </c>
    </row>
    <row r="2760" spans="2:7" ht="11.25" outlineLevel="4" x14ac:dyDescent="0.2">
      <c r="B2760" s="14" t="s">
        <v>5247</v>
      </c>
      <c r="C2760" s="14" t="s">
        <v>5248</v>
      </c>
      <c r="D2760" s="14">
        <v>1</v>
      </c>
      <c r="E2760" s="15">
        <v>26.49</v>
      </c>
      <c r="F2760" s="20">
        <v>100</v>
      </c>
      <c r="G2760" s="38" t="str">
        <f>HYPERLINK("http://enext.ua/m0080015")</f>
        <v>http://enext.ua/m0080015</v>
      </c>
    </row>
    <row r="2761" spans="2:7" ht="11.25" outlineLevel="4" x14ac:dyDescent="0.2">
      <c r="B2761" s="14" t="s">
        <v>5249</v>
      </c>
      <c r="C2761" s="14" t="s">
        <v>5250</v>
      </c>
      <c r="D2761" s="14">
        <v>1</v>
      </c>
      <c r="E2761" s="15">
        <v>26.49</v>
      </c>
      <c r="F2761" s="20">
        <v>100</v>
      </c>
      <c r="G2761" s="38" t="str">
        <f>HYPERLINK("http://enext.ua/m0080016")</f>
        <v>http://enext.ua/m0080016</v>
      </c>
    </row>
    <row r="2762" spans="2:7" ht="22.5" outlineLevel="4" x14ac:dyDescent="0.2">
      <c r="B2762" s="14" t="s">
        <v>5251</v>
      </c>
      <c r="C2762" s="14" t="s">
        <v>5252</v>
      </c>
      <c r="D2762" s="14">
        <v>1</v>
      </c>
      <c r="E2762" s="15">
        <v>44.22</v>
      </c>
      <c r="F2762" s="16" t="s">
        <v>4092</v>
      </c>
      <c r="G2762" s="38" t="str">
        <f>HYPERLINK("http://enext.ua/m0080124")</f>
        <v>http://enext.ua/m0080124</v>
      </c>
    </row>
    <row r="2763" spans="2:7" ht="11.25" outlineLevel="4" x14ac:dyDescent="0.2">
      <c r="B2763" s="14" t="s">
        <v>5253</v>
      </c>
      <c r="C2763" s="14" t="s">
        <v>5254</v>
      </c>
      <c r="D2763" s="14">
        <v>1</v>
      </c>
      <c r="E2763" s="15">
        <v>29.71</v>
      </c>
      <c r="F2763" s="20">
        <v>100</v>
      </c>
      <c r="G2763" s="38" t="str">
        <f>HYPERLINK("http://enext.ua/m0080023")</f>
        <v>http://enext.ua/m0080023</v>
      </c>
    </row>
    <row r="2764" spans="2:7" ht="11.25" outlineLevel="4" x14ac:dyDescent="0.2">
      <c r="B2764" s="14" t="s">
        <v>5255</v>
      </c>
      <c r="C2764" s="14" t="s">
        <v>5256</v>
      </c>
      <c r="D2764" s="14">
        <v>1</v>
      </c>
      <c r="E2764" s="15">
        <v>27.23</v>
      </c>
      <c r="F2764" s="20">
        <v>100</v>
      </c>
      <c r="G2764" s="38" t="str">
        <f>HYPERLINK("http://enext.ua/m0080014")</f>
        <v>http://enext.ua/m0080014</v>
      </c>
    </row>
    <row r="2765" spans="2:7" ht="11.25" outlineLevel="4" x14ac:dyDescent="0.2">
      <c r="B2765" s="14" t="s">
        <v>5257</v>
      </c>
      <c r="C2765" s="14" t="s">
        <v>5258</v>
      </c>
      <c r="D2765" s="14">
        <v>1</v>
      </c>
      <c r="E2765" s="15">
        <v>26.49</v>
      </c>
      <c r="F2765" s="20">
        <v>100</v>
      </c>
      <c r="G2765" s="38" t="str">
        <f>HYPERLINK("http://enext.ua/m0080013")</f>
        <v>http://enext.ua/m0080013</v>
      </c>
    </row>
    <row r="2766" spans="2:7" ht="11.25" outlineLevel="4" x14ac:dyDescent="0.2">
      <c r="B2766" s="14" t="s">
        <v>5259</v>
      </c>
      <c r="C2766" s="14" t="s">
        <v>5260</v>
      </c>
      <c r="D2766" s="14">
        <v>1</v>
      </c>
      <c r="E2766" s="15">
        <v>199.94</v>
      </c>
      <c r="F2766" s="20">
        <v>100</v>
      </c>
      <c r="G2766" s="38" t="str">
        <f>HYPERLINK("http://enext.ua/m0080002")</f>
        <v>http://enext.ua/m0080002</v>
      </c>
    </row>
    <row r="2767" spans="2:7" ht="12" outlineLevel="3" x14ac:dyDescent="0.2">
      <c r="B2767" s="10"/>
      <c r="C2767" s="36" t="s">
        <v>5261</v>
      </c>
      <c r="D2767" s="10"/>
      <c r="E2767" s="11"/>
      <c r="F2767" s="11"/>
      <c r="G2767" s="10"/>
    </row>
    <row r="2768" spans="2:7" ht="11.25" outlineLevel="4" x14ac:dyDescent="0.2">
      <c r="B2768" s="14" t="s">
        <v>5262</v>
      </c>
      <c r="C2768" s="14" t="s">
        <v>5263</v>
      </c>
      <c r="D2768" s="14">
        <v>1</v>
      </c>
      <c r="E2768" s="15">
        <v>49.08</v>
      </c>
      <c r="F2768" s="16" t="s">
        <v>4092</v>
      </c>
      <c r="G2768" s="38" t="str">
        <f>HYPERLINK("http://enext.ua/s015097")</f>
        <v>http://enext.ua/s015097</v>
      </c>
    </row>
    <row r="2769" spans="2:7" ht="11.25" outlineLevel="4" x14ac:dyDescent="0.2">
      <c r="B2769" s="14" t="s">
        <v>5264</v>
      </c>
      <c r="C2769" s="14" t="s">
        <v>5265</v>
      </c>
      <c r="D2769" s="14">
        <v>1</v>
      </c>
      <c r="E2769" s="15">
        <v>91.63</v>
      </c>
      <c r="F2769" s="16" t="s">
        <v>4092</v>
      </c>
      <c r="G2769" s="38" t="str">
        <f>HYPERLINK("http://enext.ua/s015098")</f>
        <v>http://enext.ua/s015098</v>
      </c>
    </row>
    <row r="2770" spans="2:7" ht="11.25" outlineLevel="4" x14ac:dyDescent="0.2">
      <c r="B2770" s="14" t="s">
        <v>5266</v>
      </c>
      <c r="C2770" s="14" t="s">
        <v>5267</v>
      </c>
      <c r="D2770" s="14">
        <v>1</v>
      </c>
      <c r="E2770" s="15">
        <v>112.62</v>
      </c>
      <c r="F2770" s="16" t="s">
        <v>4092</v>
      </c>
      <c r="G2770" s="38" t="str">
        <f>HYPERLINK("http://enext.ua/s015099")</f>
        <v>http://enext.ua/s015099</v>
      </c>
    </row>
    <row r="2771" spans="2:7" ht="11.25" outlineLevel="4" x14ac:dyDescent="0.2">
      <c r="B2771" s="14" t="s">
        <v>5268</v>
      </c>
      <c r="C2771" s="14" t="s">
        <v>5269</v>
      </c>
      <c r="D2771" s="14">
        <v>1</v>
      </c>
      <c r="E2771" s="15">
        <v>136.97</v>
      </c>
      <c r="F2771" s="16" t="s">
        <v>4092</v>
      </c>
      <c r="G2771" s="38" t="str">
        <f>HYPERLINK("http://enext.ua/s015100")</f>
        <v>http://enext.ua/s015100</v>
      </c>
    </row>
    <row r="2772" spans="2:7" ht="12" outlineLevel="3" x14ac:dyDescent="0.2">
      <c r="B2772" s="10"/>
      <c r="C2772" s="36" t="s">
        <v>5270</v>
      </c>
      <c r="D2772" s="10"/>
      <c r="E2772" s="11"/>
      <c r="F2772" s="11"/>
      <c r="G2772" s="10"/>
    </row>
    <row r="2773" spans="2:7" ht="11.25" outlineLevel="4" x14ac:dyDescent="0.2">
      <c r="B2773" s="14" t="s">
        <v>5271</v>
      </c>
      <c r="C2773" s="14" t="s">
        <v>5272</v>
      </c>
      <c r="D2773" s="14">
        <v>1</v>
      </c>
      <c r="E2773" s="15">
        <v>17.86</v>
      </c>
      <c r="F2773" s="16" t="s">
        <v>8</v>
      </c>
      <c r="G2773" s="38" t="str">
        <f>HYPERLINK("http://enext.ua/p030001")</f>
        <v>http://enext.ua/p030001</v>
      </c>
    </row>
    <row r="2774" spans="2:7" ht="11.25" outlineLevel="4" x14ac:dyDescent="0.2">
      <c r="B2774" s="14" t="s">
        <v>5273</v>
      </c>
      <c r="C2774" s="14" t="s">
        <v>5274</v>
      </c>
      <c r="D2774" s="14">
        <v>200</v>
      </c>
      <c r="E2774" s="15">
        <v>19.25</v>
      </c>
      <c r="F2774" s="16" t="s">
        <v>8</v>
      </c>
      <c r="G2774" s="38" t="str">
        <f>HYPERLINK("http://enext.ua/p030020")</f>
        <v>http://enext.ua/p030020</v>
      </c>
    </row>
    <row r="2775" spans="2:7" ht="11.25" outlineLevel="4" x14ac:dyDescent="0.2">
      <c r="B2775" s="14" t="s">
        <v>5275</v>
      </c>
      <c r="C2775" s="14" t="s">
        <v>5276</v>
      </c>
      <c r="D2775" s="14">
        <v>1</v>
      </c>
      <c r="E2775" s="15">
        <v>20.92</v>
      </c>
      <c r="F2775" s="16" t="s">
        <v>8</v>
      </c>
      <c r="G2775" s="38" t="str">
        <f>HYPERLINK("http://enext.ua/p030002")</f>
        <v>http://enext.ua/p030002</v>
      </c>
    </row>
    <row r="2776" spans="2:7" ht="11.25" outlineLevel="4" x14ac:dyDescent="0.2">
      <c r="B2776" s="14" t="s">
        <v>5277</v>
      </c>
      <c r="C2776" s="14" t="s">
        <v>5278</v>
      </c>
      <c r="D2776" s="14">
        <v>100</v>
      </c>
      <c r="E2776" s="15">
        <v>36.25</v>
      </c>
      <c r="F2776" s="16" t="s">
        <v>8</v>
      </c>
      <c r="G2776" s="38" t="str">
        <f>HYPERLINK("http://enext.ua/p030004")</f>
        <v>http://enext.ua/p030004</v>
      </c>
    </row>
    <row r="2777" spans="2:7" ht="11.25" outlineLevel="4" x14ac:dyDescent="0.2">
      <c r="B2777" s="14" t="s">
        <v>5279</v>
      </c>
      <c r="C2777" s="14" t="s">
        <v>5280</v>
      </c>
      <c r="D2777" s="14">
        <v>1</v>
      </c>
      <c r="E2777" s="15">
        <v>41.01</v>
      </c>
      <c r="F2777" s="16" t="s">
        <v>8</v>
      </c>
      <c r="G2777" s="38" t="str">
        <f>HYPERLINK("http://enext.ua/p030005")</f>
        <v>http://enext.ua/p030005</v>
      </c>
    </row>
    <row r="2778" spans="2:7" ht="11.25" outlineLevel="4" x14ac:dyDescent="0.2">
      <c r="B2778" s="14" t="s">
        <v>5281</v>
      </c>
      <c r="C2778" s="14" t="s">
        <v>5282</v>
      </c>
      <c r="D2778" s="14">
        <v>1</v>
      </c>
      <c r="E2778" s="15">
        <v>51.6</v>
      </c>
      <c r="F2778" s="16" t="s">
        <v>8</v>
      </c>
      <c r="G2778" s="38" t="str">
        <f>HYPERLINK("http://enext.ua/p030007")</f>
        <v>http://enext.ua/p030007</v>
      </c>
    </row>
    <row r="2779" spans="2:7" ht="11.25" outlineLevel="4" x14ac:dyDescent="0.2">
      <c r="B2779" s="14" t="s">
        <v>5283</v>
      </c>
      <c r="C2779" s="14" t="s">
        <v>5284</v>
      </c>
      <c r="D2779" s="14">
        <v>50</v>
      </c>
      <c r="E2779" s="15">
        <v>59.97</v>
      </c>
      <c r="F2779" s="16" t="s">
        <v>8</v>
      </c>
      <c r="G2779" s="38" t="str">
        <f>HYPERLINK("http://enext.ua/p030009")</f>
        <v>http://enext.ua/p030009</v>
      </c>
    </row>
    <row r="2780" spans="2:7" ht="11.25" outlineLevel="4" x14ac:dyDescent="0.2">
      <c r="B2780" s="14" t="s">
        <v>5285</v>
      </c>
      <c r="C2780" s="14" t="s">
        <v>5286</v>
      </c>
      <c r="D2780" s="14">
        <v>1</v>
      </c>
      <c r="E2780" s="15">
        <v>66.39</v>
      </c>
      <c r="F2780" s="16" t="s">
        <v>8</v>
      </c>
      <c r="G2780" s="38" t="str">
        <f>HYPERLINK("http://enext.ua/p030010")</f>
        <v>http://enext.ua/p030010</v>
      </c>
    </row>
    <row r="2781" spans="2:7" ht="11.25" outlineLevel="4" x14ac:dyDescent="0.2">
      <c r="B2781" s="14" t="s">
        <v>5287</v>
      </c>
      <c r="C2781" s="14" t="s">
        <v>5288</v>
      </c>
      <c r="D2781" s="14">
        <v>50</v>
      </c>
      <c r="E2781" s="15">
        <v>80.06</v>
      </c>
      <c r="F2781" s="16" t="s">
        <v>8</v>
      </c>
      <c r="G2781" s="38" t="str">
        <f>HYPERLINK("http://enext.ua/p030012")</f>
        <v>http://enext.ua/p030012</v>
      </c>
    </row>
    <row r="2782" spans="2:7" ht="11.25" outlineLevel="4" x14ac:dyDescent="0.2">
      <c r="B2782" s="14" t="s">
        <v>5289</v>
      </c>
      <c r="C2782" s="14" t="s">
        <v>5290</v>
      </c>
      <c r="D2782" s="14">
        <v>1</v>
      </c>
      <c r="E2782" s="15">
        <v>76.16</v>
      </c>
      <c r="F2782" s="16" t="s">
        <v>8</v>
      </c>
      <c r="G2782" s="38" t="str">
        <f>HYPERLINK("http://enext.ua/p030013")</f>
        <v>http://enext.ua/p030013</v>
      </c>
    </row>
    <row r="2783" spans="2:7" ht="11.25" outlineLevel="4" x14ac:dyDescent="0.2">
      <c r="B2783" s="14" t="s">
        <v>5291</v>
      </c>
      <c r="C2783" s="14" t="s">
        <v>5292</v>
      </c>
      <c r="D2783" s="14">
        <v>1</v>
      </c>
      <c r="E2783" s="15">
        <v>107.39</v>
      </c>
      <c r="F2783" s="16" t="s">
        <v>8</v>
      </c>
      <c r="G2783" s="38" t="str">
        <f>HYPERLINK("http://enext.ua/p030014")</f>
        <v>http://enext.ua/p030014</v>
      </c>
    </row>
    <row r="2784" spans="2:7" ht="11.25" outlineLevel="4" x14ac:dyDescent="0.2">
      <c r="B2784" s="14" t="s">
        <v>5293</v>
      </c>
      <c r="C2784" s="14" t="s">
        <v>5294</v>
      </c>
      <c r="D2784" s="14">
        <v>1</v>
      </c>
      <c r="E2784" s="15">
        <v>148.69</v>
      </c>
      <c r="F2784" s="16" t="s">
        <v>8</v>
      </c>
      <c r="G2784" s="38" t="str">
        <f>HYPERLINK("http://enext.ua/p030016")</f>
        <v>http://enext.ua/p030016</v>
      </c>
    </row>
    <row r="2785" spans="2:7" ht="11.25" outlineLevel="4" x14ac:dyDescent="0.2">
      <c r="B2785" s="14" t="s">
        <v>5295</v>
      </c>
      <c r="C2785" s="14" t="s">
        <v>5296</v>
      </c>
      <c r="D2785" s="14">
        <v>1</v>
      </c>
      <c r="E2785" s="15">
        <v>188.56</v>
      </c>
      <c r="F2785" s="16" t="s">
        <v>8</v>
      </c>
      <c r="G2785" s="38" t="str">
        <f>HYPERLINK("http://enext.ua/p030017")</f>
        <v>http://enext.ua/p030017</v>
      </c>
    </row>
    <row r="2786" spans="2:7" ht="11.25" outlineLevel="4" x14ac:dyDescent="0.2">
      <c r="B2786" s="14" t="s">
        <v>5297</v>
      </c>
      <c r="C2786" s="14" t="s">
        <v>5298</v>
      </c>
      <c r="D2786" s="14">
        <v>1</v>
      </c>
      <c r="E2786" s="15">
        <v>43.51</v>
      </c>
      <c r="F2786" s="16" t="s">
        <v>8</v>
      </c>
      <c r="G2786" s="38" t="str">
        <f>HYPERLINK("http://enext.ua/p030019")</f>
        <v>http://enext.ua/p030019</v>
      </c>
    </row>
    <row r="2787" spans="2:7" ht="12" outlineLevel="3" x14ac:dyDescent="0.2">
      <c r="B2787" s="10"/>
      <c r="C2787" s="36" t="s">
        <v>5299</v>
      </c>
      <c r="D2787" s="10"/>
      <c r="E2787" s="11"/>
      <c r="F2787" s="11"/>
      <c r="G2787" s="10"/>
    </row>
    <row r="2788" spans="2:7" ht="11.25" outlineLevel="4" x14ac:dyDescent="0.2">
      <c r="B2788" s="14" t="s">
        <v>5300</v>
      </c>
      <c r="C2788" s="14" t="s">
        <v>5301</v>
      </c>
      <c r="D2788" s="14">
        <v>1</v>
      </c>
      <c r="E2788" s="15">
        <v>56.42</v>
      </c>
      <c r="F2788" s="16" t="s">
        <v>8</v>
      </c>
      <c r="G2788" s="14"/>
    </row>
    <row r="2789" spans="2:7" ht="11.25" outlineLevel="4" x14ac:dyDescent="0.2">
      <c r="B2789" s="14" t="s">
        <v>5302</v>
      </c>
      <c r="C2789" s="14" t="s">
        <v>5303</v>
      </c>
      <c r="D2789" s="14">
        <v>1</v>
      </c>
      <c r="E2789" s="15">
        <v>63.12</v>
      </c>
      <c r="F2789" s="16" t="s">
        <v>8</v>
      </c>
      <c r="G2789" s="14"/>
    </row>
    <row r="2790" spans="2:7" ht="11.25" outlineLevel="4" x14ac:dyDescent="0.2">
      <c r="B2790" s="14" t="s">
        <v>5304</v>
      </c>
      <c r="C2790" s="14" t="s">
        <v>5305</v>
      </c>
      <c r="D2790" s="14">
        <v>1</v>
      </c>
      <c r="E2790" s="15">
        <v>74.56</v>
      </c>
      <c r="F2790" s="16" t="s">
        <v>8</v>
      </c>
      <c r="G2790" s="14"/>
    </row>
    <row r="2791" spans="2:7" ht="11.25" outlineLevel="4" x14ac:dyDescent="0.2">
      <c r="B2791" s="14" t="s">
        <v>5306</v>
      </c>
      <c r="C2791" s="14" t="s">
        <v>5307</v>
      </c>
      <c r="D2791" s="14">
        <v>1</v>
      </c>
      <c r="E2791" s="15">
        <v>94.28</v>
      </c>
      <c r="F2791" s="16" t="s">
        <v>8</v>
      </c>
      <c r="G2791" s="38" t="str">
        <f>HYPERLINK("http://enext.ua/s058001")</f>
        <v>http://enext.ua/s058001</v>
      </c>
    </row>
    <row r="2792" spans="2:7" ht="11.25" outlineLevel="4" x14ac:dyDescent="0.2">
      <c r="B2792" s="14" t="s">
        <v>5308</v>
      </c>
      <c r="C2792" s="14" t="s">
        <v>5309</v>
      </c>
      <c r="D2792" s="14">
        <v>1</v>
      </c>
      <c r="E2792" s="15">
        <v>116.04</v>
      </c>
      <c r="F2792" s="16" t="s">
        <v>8</v>
      </c>
      <c r="G2792" s="38" t="str">
        <f>HYPERLINK("http://enext.ua/s058002")</f>
        <v>http://enext.ua/s058002</v>
      </c>
    </row>
    <row r="2793" spans="2:7" ht="11.25" outlineLevel="4" x14ac:dyDescent="0.2">
      <c r="B2793" s="14" t="s">
        <v>5310</v>
      </c>
      <c r="C2793" s="14" t="s">
        <v>5311</v>
      </c>
      <c r="D2793" s="14">
        <v>1</v>
      </c>
      <c r="E2793" s="15">
        <v>112.97</v>
      </c>
      <c r="F2793" s="16" t="s">
        <v>8</v>
      </c>
      <c r="G2793" s="38" t="str">
        <f>HYPERLINK("http://enext.ua/s058003")</f>
        <v>http://enext.ua/s058003</v>
      </c>
    </row>
    <row r="2794" spans="2:7" ht="11.25" outlineLevel="4" x14ac:dyDescent="0.2">
      <c r="B2794" s="14" t="s">
        <v>5312</v>
      </c>
      <c r="C2794" s="14" t="s">
        <v>5313</v>
      </c>
      <c r="D2794" s="14">
        <v>1</v>
      </c>
      <c r="E2794" s="15">
        <v>129.43</v>
      </c>
      <c r="F2794" s="16" t="s">
        <v>8</v>
      </c>
      <c r="G2794" s="38" t="str">
        <f>HYPERLINK("http://enext.ua/s058004")</f>
        <v>http://enext.ua/s058004</v>
      </c>
    </row>
    <row r="2795" spans="2:7" ht="11.25" outlineLevel="4" x14ac:dyDescent="0.2">
      <c r="B2795" s="14" t="s">
        <v>5314</v>
      </c>
      <c r="C2795" s="14" t="s">
        <v>5315</v>
      </c>
      <c r="D2795" s="14">
        <v>1</v>
      </c>
      <c r="E2795" s="15">
        <v>116.04</v>
      </c>
      <c r="F2795" s="16" t="s">
        <v>8</v>
      </c>
      <c r="G2795" s="38" t="str">
        <f>HYPERLINK("http://enext.ua/s058005")</f>
        <v>http://enext.ua/s058005</v>
      </c>
    </row>
    <row r="2796" spans="2:7" ht="11.25" outlineLevel="4" x14ac:dyDescent="0.2">
      <c r="B2796" s="14" t="s">
        <v>5316</v>
      </c>
      <c r="C2796" s="14" t="s">
        <v>5317</v>
      </c>
      <c r="D2796" s="14">
        <v>1</v>
      </c>
      <c r="E2796" s="15">
        <v>119.11</v>
      </c>
      <c r="F2796" s="16" t="s">
        <v>8</v>
      </c>
      <c r="G2796" s="38" t="str">
        <f>HYPERLINK("http://enext.ua/s058006")</f>
        <v>http://enext.ua/s058006</v>
      </c>
    </row>
    <row r="2797" spans="2:7" ht="11.25" outlineLevel="4" x14ac:dyDescent="0.2">
      <c r="B2797" s="14" t="s">
        <v>5318</v>
      </c>
      <c r="C2797" s="14" t="s">
        <v>5319</v>
      </c>
      <c r="D2797" s="14">
        <v>1</v>
      </c>
      <c r="E2797" s="15">
        <v>139.47</v>
      </c>
      <c r="F2797" s="16" t="s">
        <v>8</v>
      </c>
      <c r="G2797" s="38" t="str">
        <f>HYPERLINK("http://enext.ua/s058007")</f>
        <v>http://enext.ua/s058007</v>
      </c>
    </row>
    <row r="2798" spans="2:7" ht="11.25" outlineLevel="4" x14ac:dyDescent="0.2">
      <c r="B2798" s="14" t="s">
        <v>5320</v>
      </c>
      <c r="C2798" s="14" t="s">
        <v>5321</v>
      </c>
      <c r="D2798" s="14">
        <v>1</v>
      </c>
      <c r="E2798" s="15">
        <v>148.69</v>
      </c>
      <c r="F2798" s="16" t="s">
        <v>8</v>
      </c>
      <c r="G2798" s="38" t="str">
        <f>HYPERLINK("http://enext.ua/s058008")</f>
        <v>http://enext.ua/s058008</v>
      </c>
    </row>
    <row r="2799" spans="2:7" ht="11.25" outlineLevel="4" x14ac:dyDescent="0.2">
      <c r="B2799" s="14" t="s">
        <v>5322</v>
      </c>
      <c r="C2799" s="14" t="s">
        <v>5323</v>
      </c>
      <c r="D2799" s="14">
        <v>1</v>
      </c>
      <c r="E2799" s="15">
        <v>133.33000000000001</v>
      </c>
      <c r="F2799" s="16" t="s">
        <v>8</v>
      </c>
      <c r="G2799" s="38" t="str">
        <f>HYPERLINK("http://enext.ua/s058009")</f>
        <v>http://enext.ua/s058009</v>
      </c>
    </row>
    <row r="2800" spans="2:7" ht="11.25" outlineLevel="4" x14ac:dyDescent="0.2">
      <c r="B2800" s="14" t="s">
        <v>5324</v>
      </c>
      <c r="C2800" s="14" t="s">
        <v>5325</v>
      </c>
      <c r="D2800" s="14">
        <v>1</v>
      </c>
      <c r="E2800" s="15">
        <v>129.71</v>
      </c>
      <c r="F2800" s="16" t="s">
        <v>8</v>
      </c>
      <c r="G2800" s="38" t="str">
        <f>HYPERLINK("http://enext.ua/s058010")</f>
        <v>http://enext.ua/s058010</v>
      </c>
    </row>
    <row r="2801" spans="2:7" ht="11.25" outlineLevel="4" x14ac:dyDescent="0.2">
      <c r="B2801" s="14" t="s">
        <v>5326</v>
      </c>
      <c r="C2801" s="14" t="s">
        <v>5327</v>
      </c>
      <c r="D2801" s="14">
        <v>1</v>
      </c>
      <c r="E2801" s="15">
        <v>140.59</v>
      </c>
      <c r="F2801" s="16" t="s">
        <v>8</v>
      </c>
      <c r="G2801" s="38" t="str">
        <f>HYPERLINK("http://enext.ua/s058011")</f>
        <v>http://enext.ua/s058011</v>
      </c>
    </row>
    <row r="2802" spans="2:7" ht="12" outlineLevel="3" x14ac:dyDescent="0.2">
      <c r="B2802" s="10"/>
      <c r="C2802" s="36" t="s">
        <v>5328</v>
      </c>
      <c r="D2802" s="10"/>
      <c r="E2802" s="11"/>
      <c r="F2802" s="11"/>
      <c r="G2802" s="10"/>
    </row>
    <row r="2803" spans="2:7" ht="22.5" outlineLevel="4" x14ac:dyDescent="0.2">
      <c r="B2803" s="14" t="s">
        <v>5329</v>
      </c>
      <c r="C2803" s="14" t="s">
        <v>5330</v>
      </c>
      <c r="D2803" s="14">
        <v>1</v>
      </c>
      <c r="E2803" s="15">
        <v>651.13</v>
      </c>
      <c r="F2803" s="16" t="s">
        <v>1078</v>
      </c>
      <c r="G2803" s="14"/>
    </row>
    <row r="2804" spans="2:7" ht="22.5" outlineLevel="4" x14ac:dyDescent="0.2">
      <c r="B2804" s="14" t="s">
        <v>5331</v>
      </c>
      <c r="C2804" s="14" t="s">
        <v>5332</v>
      </c>
      <c r="D2804" s="14">
        <v>1</v>
      </c>
      <c r="E2804" s="15">
        <v>918.91</v>
      </c>
      <c r="F2804" s="16" t="s">
        <v>1078</v>
      </c>
      <c r="G2804" s="14"/>
    </row>
    <row r="2805" spans="2:7" ht="22.5" outlineLevel="4" x14ac:dyDescent="0.2">
      <c r="B2805" s="14" t="s">
        <v>5333</v>
      </c>
      <c r="C2805" s="14" t="s">
        <v>5334</v>
      </c>
      <c r="D2805" s="14">
        <v>1</v>
      </c>
      <c r="E2805" s="15">
        <v>723.27</v>
      </c>
      <c r="F2805" s="16" t="s">
        <v>1078</v>
      </c>
      <c r="G2805" s="14"/>
    </row>
    <row r="2806" spans="2:7" ht="22.5" outlineLevel="4" x14ac:dyDescent="0.2">
      <c r="B2806" s="14" t="s">
        <v>5335</v>
      </c>
      <c r="C2806" s="14" t="s">
        <v>5336</v>
      </c>
      <c r="D2806" s="14">
        <v>1</v>
      </c>
      <c r="E2806" s="17">
        <v>1194.1099999999999</v>
      </c>
      <c r="F2806" s="16" t="s">
        <v>1078</v>
      </c>
      <c r="G2806" s="14"/>
    </row>
    <row r="2807" spans="2:7" ht="12" outlineLevel="3" x14ac:dyDescent="0.2">
      <c r="B2807" s="10"/>
      <c r="C2807" s="36" t="s">
        <v>5337</v>
      </c>
      <c r="D2807" s="10"/>
      <c r="E2807" s="11"/>
      <c r="F2807" s="11"/>
      <c r="G2807" s="10"/>
    </row>
    <row r="2808" spans="2:7" ht="11.25" outlineLevel="4" x14ac:dyDescent="0.2">
      <c r="B2808" s="14" t="s">
        <v>5338</v>
      </c>
      <c r="C2808" s="14" t="s">
        <v>5339</v>
      </c>
      <c r="D2808" s="14">
        <v>1</v>
      </c>
      <c r="E2808" s="15">
        <v>1.49</v>
      </c>
      <c r="F2808" s="16" t="s">
        <v>8</v>
      </c>
      <c r="G2808" s="14"/>
    </row>
    <row r="2809" spans="2:7" ht="11.25" outlineLevel="4" x14ac:dyDescent="0.2">
      <c r="B2809" s="14" t="s">
        <v>5340</v>
      </c>
      <c r="C2809" s="14" t="s">
        <v>5341</v>
      </c>
      <c r="D2809" s="14">
        <v>1</v>
      </c>
      <c r="E2809" s="15">
        <v>23.83</v>
      </c>
      <c r="F2809" s="16" t="s">
        <v>8</v>
      </c>
      <c r="G2809" s="14"/>
    </row>
    <row r="2810" spans="2:7" ht="11.25" outlineLevel="4" x14ac:dyDescent="0.2">
      <c r="B2810" s="14" t="s">
        <v>5342</v>
      </c>
      <c r="C2810" s="14" t="s">
        <v>5343</v>
      </c>
      <c r="D2810" s="14">
        <v>1</v>
      </c>
      <c r="E2810" s="15">
        <v>102.48</v>
      </c>
      <c r="F2810" s="16" t="s">
        <v>8</v>
      </c>
      <c r="G2810" s="14"/>
    </row>
    <row r="2811" spans="2:7" ht="11.25" outlineLevel="4" x14ac:dyDescent="0.2">
      <c r="B2811" s="14" t="s">
        <v>5344</v>
      </c>
      <c r="C2811" s="14" t="s">
        <v>5345</v>
      </c>
      <c r="D2811" s="14">
        <v>1</v>
      </c>
      <c r="E2811" s="15">
        <v>57.89</v>
      </c>
      <c r="F2811" s="16" t="s">
        <v>8</v>
      </c>
      <c r="G2811" s="14"/>
    </row>
    <row r="2812" spans="2:7" ht="11.25" outlineLevel="4" x14ac:dyDescent="0.2">
      <c r="B2812" s="14" t="s">
        <v>5346</v>
      </c>
      <c r="C2812" s="14" t="s">
        <v>5347</v>
      </c>
      <c r="D2812" s="14">
        <v>1</v>
      </c>
      <c r="E2812" s="15">
        <v>47.06</v>
      </c>
      <c r="F2812" s="16" t="s">
        <v>8</v>
      </c>
      <c r="G2812" s="14"/>
    </row>
    <row r="2813" spans="2:7" ht="11.25" outlineLevel="4" x14ac:dyDescent="0.2">
      <c r="B2813" s="14" t="s">
        <v>5348</v>
      </c>
      <c r="C2813" s="14" t="s">
        <v>5349</v>
      </c>
      <c r="D2813" s="14">
        <v>1</v>
      </c>
      <c r="E2813" s="15">
        <v>1.73</v>
      </c>
      <c r="F2813" s="16" t="s">
        <v>8</v>
      </c>
      <c r="G2813" s="14"/>
    </row>
    <row r="2814" spans="2:7" ht="11.25" outlineLevel="4" x14ac:dyDescent="0.2">
      <c r="B2814" s="14" t="s">
        <v>5350</v>
      </c>
      <c r="C2814" s="14" t="s">
        <v>5351</v>
      </c>
      <c r="D2814" s="14">
        <v>1</v>
      </c>
      <c r="E2814" s="15">
        <v>2.76</v>
      </c>
      <c r="F2814" s="16" t="s">
        <v>8</v>
      </c>
      <c r="G2814" s="14"/>
    </row>
    <row r="2815" spans="2:7" ht="11.25" outlineLevel="4" x14ac:dyDescent="0.2">
      <c r="B2815" s="14" t="s">
        <v>5352</v>
      </c>
      <c r="C2815" s="14" t="s">
        <v>5353</v>
      </c>
      <c r="D2815" s="14">
        <v>1</v>
      </c>
      <c r="E2815" s="15">
        <v>4.38</v>
      </c>
      <c r="F2815" s="16" t="s">
        <v>8</v>
      </c>
      <c r="G2815" s="14"/>
    </row>
    <row r="2816" spans="2:7" ht="11.25" outlineLevel="4" x14ac:dyDescent="0.2">
      <c r="B2816" s="14" t="s">
        <v>5354</v>
      </c>
      <c r="C2816" s="14" t="s">
        <v>5355</v>
      </c>
      <c r="D2816" s="14">
        <v>1</v>
      </c>
      <c r="E2816" s="15">
        <v>6.55</v>
      </c>
      <c r="F2816" s="16" t="s">
        <v>8</v>
      </c>
      <c r="G2816" s="14"/>
    </row>
    <row r="2817" spans="2:7" ht="11.25" outlineLevel="4" x14ac:dyDescent="0.2">
      <c r="B2817" s="14" t="s">
        <v>5356</v>
      </c>
      <c r="C2817" s="14" t="s">
        <v>5357</v>
      </c>
      <c r="D2817" s="14">
        <v>1</v>
      </c>
      <c r="E2817" s="15">
        <v>11.31</v>
      </c>
      <c r="F2817" s="16" t="s">
        <v>8</v>
      </c>
      <c r="G2817" s="14"/>
    </row>
    <row r="2818" spans="2:7" ht="11.25" outlineLevel="4" x14ac:dyDescent="0.2">
      <c r="B2818" s="14" t="s">
        <v>5358</v>
      </c>
      <c r="C2818" s="14" t="s">
        <v>5359</v>
      </c>
      <c r="D2818" s="14">
        <v>1</v>
      </c>
      <c r="E2818" s="15">
        <v>16.21</v>
      </c>
      <c r="F2818" s="16" t="s">
        <v>8</v>
      </c>
      <c r="G2818" s="14"/>
    </row>
    <row r="2819" spans="2:7" ht="11.25" outlineLevel="4" x14ac:dyDescent="0.2">
      <c r="B2819" s="14" t="s">
        <v>5360</v>
      </c>
      <c r="C2819" s="14" t="s">
        <v>5361</v>
      </c>
      <c r="D2819" s="14">
        <v>1</v>
      </c>
      <c r="E2819" s="15">
        <v>23.83</v>
      </c>
      <c r="F2819" s="16" t="s">
        <v>8</v>
      </c>
      <c r="G2819" s="14"/>
    </row>
    <row r="2820" spans="2:7" ht="11.25" outlineLevel="4" x14ac:dyDescent="0.2">
      <c r="B2820" s="14" t="s">
        <v>5362</v>
      </c>
      <c r="C2820" s="14" t="s">
        <v>5363</v>
      </c>
      <c r="D2820" s="14">
        <v>1</v>
      </c>
      <c r="E2820" s="15">
        <v>25.66</v>
      </c>
      <c r="F2820" s="16" t="s">
        <v>8</v>
      </c>
      <c r="G2820" s="14"/>
    </row>
    <row r="2821" spans="2:7" ht="11.25" outlineLevel="4" x14ac:dyDescent="0.2">
      <c r="B2821" s="14" t="s">
        <v>5364</v>
      </c>
      <c r="C2821" s="14" t="s">
        <v>5365</v>
      </c>
      <c r="D2821" s="14">
        <v>1</v>
      </c>
      <c r="E2821" s="15">
        <v>25.73</v>
      </c>
      <c r="F2821" s="16" t="s">
        <v>8</v>
      </c>
      <c r="G2821" s="14"/>
    </row>
    <row r="2822" spans="2:7" ht="11.25" outlineLevel="4" x14ac:dyDescent="0.2">
      <c r="B2822" s="14" t="s">
        <v>5366</v>
      </c>
      <c r="C2822" s="14" t="s">
        <v>5367</v>
      </c>
      <c r="D2822" s="14">
        <v>1</v>
      </c>
      <c r="E2822" s="15">
        <v>25.77</v>
      </c>
      <c r="F2822" s="16" t="s">
        <v>8</v>
      </c>
      <c r="G2822" s="14"/>
    </row>
    <row r="2823" spans="2:7" ht="11.25" outlineLevel="4" x14ac:dyDescent="0.2">
      <c r="B2823" s="14" t="s">
        <v>5368</v>
      </c>
      <c r="C2823" s="14" t="s">
        <v>5369</v>
      </c>
      <c r="D2823" s="14">
        <v>1</v>
      </c>
      <c r="E2823" s="15">
        <v>27.85</v>
      </c>
      <c r="F2823" s="16" t="s">
        <v>8</v>
      </c>
      <c r="G2823" s="14"/>
    </row>
    <row r="2824" spans="2:7" ht="11.25" outlineLevel="4" x14ac:dyDescent="0.2">
      <c r="B2824" s="14" t="s">
        <v>5370</v>
      </c>
      <c r="C2824" s="14" t="s">
        <v>5371</v>
      </c>
      <c r="D2824" s="14">
        <v>1</v>
      </c>
      <c r="E2824" s="15">
        <v>28.93</v>
      </c>
      <c r="F2824" s="16" t="s">
        <v>8</v>
      </c>
      <c r="G2824" s="14"/>
    </row>
    <row r="2825" spans="2:7" ht="11.25" outlineLevel="4" x14ac:dyDescent="0.2">
      <c r="B2825" s="14" t="s">
        <v>5372</v>
      </c>
      <c r="C2825" s="14" t="s">
        <v>5373</v>
      </c>
      <c r="D2825" s="14">
        <v>1</v>
      </c>
      <c r="E2825" s="15">
        <v>35.04</v>
      </c>
      <c r="F2825" s="16" t="s">
        <v>8</v>
      </c>
      <c r="G2825" s="14"/>
    </row>
    <row r="2826" spans="2:7" ht="11.25" outlineLevel="4" x14ac:dyDescent="0.2">
      <c r="B2826" s="14" t="s">
        <v>5374</v>
      </c>
      <c r="C2826" s="14" t="s">
        <v>5375</v>
      </c>
      <c r="D2826" s="14">
        <v>1</v>
      </c>
      <c r="E2826" s="15">
        <v>37.58</v>
      </c>
      <c r="F2826" s="16" t="s">
        <v>8</v>
      </c>
      <c r="G2826" s="14"/>
    </row>
    <row r="2827" spans="2:7" ht="11.25" outlineLevel="4" x14ac:dyDescent="0.2">
      <c r="B2827" s="14" t="s">
        <v>5376</v>
      </c>
      <c r="C2827" s="14" t="s">
        <v>5377</v>
      </c>
      <c r="D2827" s="14">
        <v>1</v>
      </c>
      <c r="E2827" s="15">
        <v>41.65</v>
      </c>
      <c r="F2827" s="16" t="s">
        <v>8</v>
      </c>
      <c r="G2827" s="14"/>
    </row>
    <row r="2828" spans="2:7" ht="11.25" outlineLevel="4" x14ac:dyDescent="0.2">
      <c r="B2828" s="14" t="s">
        <v>5378</v>
      </c>
      <c r="C2828" s="14" t="s">
        <v>5379</v>
      </c>
      <c r="D2828" s="14">
        <v>1</v>
      </c>
      <c r="E2828" s="15">
        <v>43.33</v>
      </c>
      <c r="F2828" s="16" t="s">
        <v>8</v>
      </c>
      <c r="G2828" s="14"/>
    </row>
    <row r="2829" spans="2:7" ht="11.25" outlineLevel="4" x14ac:dyDescent="0.2">
      <c r="B2829" s="14" t="s">
        <v>5380</v>
      </c>
      <c r="C2829" s="14" t="s">
        <v>5381</v>
      </c>
      <c r="D2829" s="14">
        <v>1</v>
      </c>
      <c r="E2829" s="15">
        <v>69.88</v>
      </c>
      <c r="F2829" s="16" t="s">
        <v>8</v>
      </c>
      <c r="G2829" s="14"/>
    </row>
    <row r="2830" spans="2:7" ht="12" outlineLevel="3" x14ac:dyDescent="0.2">
      <c r="B2830" s="10"/>
      <c r="C2830" s="36" t="s">
        <v>5382</v>
      </c>
      <c r="D2830" s="10"/>
      <c r="E2830" s="11"/>
      <c r="F2830" s="11"/>
      <c r="G2830" s="10"/>
    </row>
    <row r="2831" spans="2:7" ht="22.5" outlineLevel="4" x14ac:dyDescent="0.2">
      <c r="B2831" s="14" t="s">
        <v>5383</v>
      </c>
      <c r="C2831" s="14" t="s">
        <v>5384</v>
      </c>
      <c r="D2831" s="14">
        <v>1</v>
      </c>
      <c r="E2831" s="15">
        <v>76.36</v>
      </c>
      <c r="F2831" s="16" t="s">
        <v>4092</v>
      </c>
      <c r="G2831" s="38" t="str">
        <f>HYPERLINK("http://enext.ua/m0080133")</f>
        <v>http://enext.ua/m0080133</v>
      </c>
    </row>
    <row r="2832" spans="2:7" ht="22.5" outlineLevel="4" x14ac:dyDescent="0.2">
      <c r="B2832" s="14" t="s">
        <v>5385</v>
      </c>
      <c r="C2832" s="14" t="s">
        <v>5386</v>
      </c>
      <c r="D2832" s="14">
        <v>1</v>
      </c>
      <c r="E2832" s="15">
        <v>76.36</v>
      </c>
      <c r="F2832" s="16" t="s">
        <v>4092</v>
      </c>
      <c r="G2832" s="38" t="str">
        <f>HYPERLINK("http://enext.ua/m0080131")</f>
        <v>http://enext.ua/m0080131</v>
      </c>
    </row>
    <row r="2833" spans="2:7" ht="22.5" outlineLevel="4" x14ac:dyDescent="0.2">
      <c r="B2833" s="14" t="s">
        <v>5387</v>
      </c>
      <c r="C2833" s="14" t="s">
        <v>5388</v>
      </c>
      <c r="D2833" s="14">
        <v>1</v>
      </c>
      <c r="E2833" s="15">
        <v>110.42</v>
      </c>
      <c r="F2833" s="16" t="s">
        <v>4092</v>
      </c>
      <c r="G2833" s="38" t="str">
        <f>HYPERLINK("http://enext.ua/m0080134")</f>
        <v>http://enext.ua/m0080134</v>
      </c>
    </row>
    <row r="2834" spans="2:7" ht="22.5" outlineLevel="4" x14ac:dyDescent="0.2">
      <c r="B2834" s="14" t="s">
        <v>5389</v>
      </c>
      <c r="C2834" s="14" t="s">
        <v>5390</v>
      </c>
      <c r="D2834" s="14">
        <v>1</v>
      </c>
      <c r="E2834" s="15">
        <v>109.96</v>
      </c>
      <c r="F2834" s="16" t="s">
        <v>4092</v>
      </c>
      <c r="G2834" s="38" t="str">
        <f>HYPERLINK("http://enext.ua/m0080132")</f>
        <v>http://enext.ua/m0080132</v>
      </c>
    </row>
    <row r="2835" spans="2:7" ht="11.25" outlineLevel="4" x14ac:dyDescent="0.2">
      <c r="B2835" s="14" t="s">
        <v>5391</v>
      </c>
      <c r="C2835" s="14" t="s">
        <v>5392</v>
      </c>
      <c r="D2835" s="14">
        <v>1</v>
      </c>
      <c r="E2835" s="15">
        <v>36.35</v>
      </c>
      <c r="F2835" s="16" t="s">
        <v>4092</v>
      </c>
      <c r="G2835" s="38" t="str">
        <f>HYPERLINK("http://enext.ua/m0080130")</f>
        <v>http://enext.ua/m0080130</v>
      </c>
    </row>
    <row r="2836" spans="2:7" ht="11.25" outlineLevel="4" x14ac:dyDescent="0.2">
      <c r="B2836" s="14" t="s">
        <v>5393</v>
      </c>
      <c r="C2836" s="14" t="s">
        <v>5394</v>
      </c>
      <c r="D2836" s="14">
        <v>1</v>
      </c>
      <c r="E2836" s="15">
        <v>27.37</v>
      </c>
      <c r="F2836" s="16" t="s">
        <v>4092</v>
      </c>
      <c r="G2836" s="38" t="str">
        <f>HYPERLINK("http://enext.ua/m0080128")</f>
        <v>http://enext.ua/m0080128</v>
      </c>
    </row>
    <row r="2837" spans="2:7" ht="11.25" outlineLevel="4" x14ac:dyDescent="0.2">
      <c r="B2837" s="14" t="s">
        <v>5395</v>
      </c>
      <c r="C2837" s="14" t="s">
        <v>5396</v>
      </c>
      <c r="D2837" s="14">
        <v>1</v>
      </c>
      <c r="E2837" s="15">
        <v>31.65</v>
      </c>
      <c r="F2837" s="16" t="s">
        <v>4092</v>
      </c>
      <c r="G2837" s="38" t="str">
        <f>HYPERLINK("http://enext.ua/m0080129")</f>
        <v>http://enext.ua/m0080129</v>
      </c>
    </row>
    <row r="2838" spans="2:7" ht="11.25" outlineLevel="4" x14ac:dyDescent="0.2">
      <c r="B2838" s="14" t="s">
        <v>5397</v>
      </c>
      <c r="C2838" s="14" t="s">
        <v>5398</v>
      </c>
      <c r="D2838" s="14">
        <v>1</v>
      </c>
      <c r="E2838" s="15">
        <v>30.36</v>
      </c>
      <c r="F2838" s="16" t="s">
        <v>4092</v>
      </c>
      <c r="G2838" s="38" t="str">
        <f>HYPERLINK("http://enext.ua/m0080125")</f>
        <v>http://enext.ua/m0080125</v>
      </c>
    </row>
    <row r="2839" spans="2:7" ht="11.25" outlineLevel="4" x14ac:dyDescent="0.2">
      <c r="B2839" s="14" t="s">
        <v>5399</v>
      </c>
      <c r="C2839" s="14" t="s">
        <v>5400</v>
      </c>
      <c r="D2839" s="14">
        <v>1</v>
      </c>
      <c r="E2839" s="15">
        <v>37.630000000000003</v>
      </c>
      <c r="F2839" s="16" t="s">
        <v>4092</v>
      </c>
      <c r="G2839" s="38" t="str">
        <f>HYPERLINK("http://enext.ua/m0080126")</f>
        <v>http://enext.ua/m0080126</v>
      </c>
    </row>
    <row r="2840" spans="2:7" ht="12" outlineLevel="3" x14ac:dyDescent="0.2">
      <c r="B2840" s="10"/>
      <c r="C2840" s="36" t="s">
        <v>5401</v>
      </c>
      <c r="D2840" s="10"/>
      <c r="E2840" s="11"/>
      <c r="F2840" s="11"/>
      <c r="G2840" s="10"/>
    </row>
    <row r="2841" spans="2:7" ht="11.25" outlineLevel="4" x14ac:dyDescent="0.2">
      <c r="B2841" s="14" t="s">
        <v>5402</v>
      </c>
      <c r="C2841" s="14" t="s">
        <v>5403</v>
      </c>
      <c r="D2841" s="14">
        <v>1</v>
      </c>
      <c r="E2841" s="15">
        <v>134.34</v>
      </c>
      <c r="F2841" s="16" t="s">
        <v>8</v>
      </c>
      <c r="G2841" s="38" t="str">
        <f>HYPERLINK("http://enext.ua/KO-27")</f>
        <v>http://enext.ua/KO-27</v>
      </c>
    </row>
    <row r="2842" spans="2:7" ht="11.25" outlineLevel="4" x14ac:dyDescent="0.2">
      <c r="B2842" s="14" t="s">
        <v>5404</v>
      </c>
      <c r="C2842" s="14" t="s">
        <v>5405</v>
      </c>
      <c r="D2842" s="14">
        <v>1</v>
      </c>
      <c r="E2842" s="15">
        <v>470.77</v>
      </c>
      <c r="F2842" s="16" t="s">
        <v>8</v>
      </c>
      <c r="G2842" s="14"/>
    </row>
    <row r="2843" spans="2:7" ht="11.25" outlineLevel="4" x14ac:dyDescent="0.2">
      <c r="B2843" s="14" t="s">
        <v>5406</v>
      </c>
      <c r="C2843" s="14" t="s">
        <v>5407</v>
      </c>
      <c r="D2843" s="14">
        <v>1</v>
      </c>
      <c r="E2843" s="15">
        <v>207.84</v>
      </c>
      <c r="F2843" s="16" t="s">
        <v>8</v>
      </c>
      <c r="G2843" s="38" t="str">
        <f>HYPERLINK("http://enext.ua/KO-40")</f>
        <v>http://enext.ua/KO-40</v>
      </c>
    </row>
    <row r="2844" spans="2:7" ht="11.25" outlineLevel="4" x14ac:dyDescent="0.2">
      <c r="B2844" s="14" t="s">
        <v>5408</v>
      </c>
      <c r="C2844" s="14" t="s">
        <v>5409</v>
      </c>
      <c r="D2844" s="14">
        <v>1</v>
      </c>
      <c r="E2844" s="15">
        <v>283.02999999999997</v>
      </c>
      <c r="F2844" s="16" t="s">
        <v>8</v>
      </c>
      <c r="G2844" s="38" t="str">
        <f>HYPERLINK("http://enext.ua/KO-75")</f>
        <v>http://enext.ua/KO-75</v>
      </c>
    </row>
    <row r="2845" spans="2:7" ht="11.25" outlineLevel="4" x14ac:dyDescent="0.2">
      <c r="B2845" s="14" t="s">
        <v>5410</v>
      </c>
      <c r="C2845" s="14" t="s">
        <v>5411</v>
      </c>
      <c r="D2845" s="14">
        <v>1</v>
      </c>
      <c r="E2845" s="17">
        <v>2085.64</v>
      </c>
      <c r="F2845" s="16" t="s">
        <v>8</v>
      </c>
      <c r="G2845" s="14"/>
    </row>
    <row r="2846" spans="2:7" ht="11.25" outlineLevel="4" x14ac:dyDescent="0.2">
      <c r="B2846" s="14" t="s">
        <v>5412</v>
      </c>
      <c r="C2846" s="14" t="s">
        <v>5413</v>
      </c>
      <c r="D2846" s="14">
        <v>1</v>
      </c>
      <c r="E2846" s="15">
        <v>207.84</v>
      </c>
      <c r="F2846" s="16" t="s">
        <v>8</v>
      </c>
      <c r="G2846" s="14"/>
    </row>
    <row r="2847" spans="2:7" ht="11.25" outlineLevel="4" x14ac:dyDescent="0.2">
      <c r="B2847" s="14" t="s">
        <v>5414</v>
      </c>
      <c r="C2847" s="14" t="s">
        <v>5415</v>
      </c>
      <c r="D2847" s="14">
        <v>1</v>
      </c>
      <c r="E2847" s="15">
        <v>717.43</v>
      </c>
      <c r="F2847" s="16" t="s">
        <v>8</v>
      </c>
      <c r="G2847" s="38" t="str">
        <f>HYPERLINK("http://enext.ua/KO-90")</f>
        <v>http://enext.ua/KO-90</v>
      </c>
    </row>
    <row r="2848" spans="2:7" ht="11.25" outlineLevel="4" x14ac:dyDescent="0.2">
      <c r="B2848" s="14" t="s">
        <v>5416</v>
      </c>
      <c r="C2848" s="14" t="s">
        <v>5417</v>
      </c>
      <c r="D2848" s="14">
        <v>1</v>
      </c>
      <c r="E2848" s="15">
        <v>717.43</v>
      </c>
      <c r="F2848" s="16" t="s">
        <v>8</v>
      </c>
      <c r="G2848" s="38" t="str">
        <f>HYPERLINK("http://enext.ua/KO-3-24-36")</f>
        <v>http://enext.ua/KO-3-24-36</v>
      </c>
    </row>
    <row r="2849" spans="2:7" ht="11.25" outlineLevel="4" x14ac:dyDescent="0.2">
      <c r="B2849" s="14" t="s">
        <v>5418</v>
      </c>
      <c r="C2849" s="14" t="s">
        <v>5419</v>
      </c>
      <c r="D2849" s="14">
        <v>1</v>
      </c>
      <c r="E2849" s="15">
        <v>985.95</v>
      </c>
      <c r="F2849" s="16" t="s">
        <v>8</v>
      </c>
      <c r="G2849" s="38" t="str">
        <f>HYPERLINK("http://enext.ua/KO-3-32-47")</f>
        <v>http://enext.ua/KO-3-32-47</v>
      </c>
    </row>
    <row r="2850" spans="2:7" ht="12" outlineLevel="2" x14ac:dyDescent="0.2">
      <c r="B2850" s="8"/>
      <c r="C2850" s="35" t="s">
        <v>5420</v>
      </c>
      <c r="D2850" s="8"/>
      <c r="E2850" s="9"/>
      <c r="F2850" s="9"/>
      <c r="G2850" s="8"/>
    </row>
    <row r="2851" spans="2:7" ht="12" outlineLevel="3" x14ac:dyDescent="0.2">
      <c r="B2851" s="10"/>
      <c r="C2851" s="36" t="s">
        <v>5421</v>
      </c>
      <c r="D2851" s="10"/>
      <c r="E2851" s="11"/>
      <c r="F2851" s="11"/>
      <c r="G2851" s="10"/>
    </row>
    <row r="2852" spans="2:7" ht="11.25" outlineLevel="4" x14ac:dyDescent="0.2">
      <c r="B2852" s="14" t="s">
        <v>5422</v>
      </c>
      <c r="C2852" s="14" t="s">
        <v>5423</v>
      </c>
      <c r="D2852" s="14">
        <v>100</v>
      </c>
      <c r="E2852" s="15">
        <v>2.5499999999999998</v>
      </c>
      <c r="F2852" s="16" t="s">
        <v>8</v>
      </c>
      <c r="G2852" s="38" t="str">
        <f>HYPERLINK("http://enext.ua/s040012")</f>
        <v>http://enext.ua/s040012</v>
      </c>
    </row>
    <row r="2853" spans="2:7" ht="11.25" outlineLevel="4" x14ac:dyDescent="0.2">
      <c r="B2853" s="14" t="s">
        <v>5424</v>
      </c>
      <c r="C2853" s="14" t="s">
        <v>5425</v>
      </c>
      <c r="D2853" s="14">
        <v>100</v>
      </c>
      <c r="E2853" s="15">
        <v>3.12</v>
      </c>
      <c r="F2853" s="16" t="s">
        <v>8</v>
      </c>
      <c r="G2853" s="38" t="str">
        <f>HYPERLINK("http://enext.ua/s040013")</f>
        <v>http://enext.ua/s040013</v>
      </c>
    </row>
    <row r="2854" spans="2:7" ht="11.25" outlineLevel="4" x14ac:dyDescent="0.2">
      <c r="B2854" s="14" t="s">
        <v>5426</v>
      </c>
      <c r="C2854" s="14" t="s">
        <v>5427</v>
      </c>
      <c r="D2854" s="14">
        <v>1</v>
      </c>
      <c r="E2854" s="15">
        <v>3.69</v>
      </c>
      <c r="F2854" s="16" t="s">
        <v>8</v>
      </c>
      <c r="G2854" s="38" t="str">
        <f>HYPERLINK("http://enext.ua/s040014")</f>
        <v>http://enext.ua/s040014</v>
      </c>
    </row>
    <row r="2855" spans="2:7" ht="11.25" outlineLevel="4" x14ac:dyDescent="0.2">
      <c r="B2855" s="14" t="s">
        <v>5428</v>
      </c>
      <c r="C2855" s="14" t="s">
        <v>5429</v>
      </c>
      <c r="D2855" s="14">
        <v>1</v>
      </c>
      <c r="E2855" s="15">
        <v>4.25</v>
      </c>
      <c r="F2855" s="16" t="s">
        <v>8</v>
      </c>
      <c r="G2855" s="38" t="str">
        <f>HYPERLINK("http://enext.ua/s040015")</f>
        <v>http://enext.ua/s040015</v>
      </c>
    </row>
    <row r="2856" spans="2:7" ht="11.25" outlineLevel="4" x14ac:dyDescent="0.2">
      <c r="B2856" s="14" t="s">
        <v>5430</v>
      </c>
      <c r="C2856" s="14" t="s">
        <v>5431</v>
      </c>
      <c r="D2856" s="14">
        <v>100</v>
      </c>
      <c r="E2856" s="15">
        <v>4.53</v>
      </c>
      <c r="F2856" s="16" t="s">
        <v>8</v>
      </c>
      <c r="G2856" s="38" t="str">
        <f>HYPERLINK("http://enext.ua/s040001")</f>
        <v>http://enext.ua/s040001</v>
      </c>
    </row>
    <row r="2857" spans="2:7" ht="11.25" outlineLevel="4" x14ac:dyDescent="0.2">
      <c r="B2857" s="14" t="s">
        <v>5432</v>
      </c>
      <c r="C2857" s="14" t="s">
        <v>5433</v>
      </c>
      <c r="D2857" s="14">
        <v>100</v>
      </c>
      <c r="E2857" s="15">
        <v>7.09</v>
      </c>
      <c r="F2857" s="16" t="s">
        <v>8</v>
      </c>
      <c r="G2857" s="38" t="str">
        <f>HYPERLINK("http://enext.ua/s040002")</f>
        <v>http://enext.ua/s040002</v>
      </c>
    </row>
    <row r="2858" spans="2:7" ht="11.25" outlineLevel="4" x14ac:dyDescent="0.2">
      <c r="B2858" s="14" t="s">
        <v>5434</v>
      </c>
      <c r="C2858" s="14" t="s">
        <v>5435</v>
      </c>
      <c r="D2858" s="14">
        <v>100</v>
      </c>
      <c r="E2858" s="15">
        <v>7.65</v>
      </c>
      <c r="F2858" s="16" t="s">
        <v>8</v>
      </c>
      <c r="G2858" s="38" t="str">
        <f>HYPERLINK("http://enext.ua/s040003")</f>
        <v>http://enext.ua/s040003</v>
      </c>
    </row>
    <row r="2859" spans="2:7" ht="11.25" outlineLevel="4" x14ac:dyDescent="0.2">
      <c r="B2859" s="14" t="s">
        <v>5436</v>
      </c>
      <c r="C2859" s="14" t="s">
        <v>5437</v>
      </c>
      <c r="D2859" s="14">
        <v>100</v>
      </c>
      <c r="E2859" s="15">
        <v>11.9</v>
      </c>
      <c r="F2859" s="16" t="s">
        <v>8</v>
      </c>
      <c r="G2859" s="38" t="str">
        <f>HYPERLINK("http://enext.ua/s040004")</f>
        <v>http://enext.ua/s040004</v>
      </c>
    </row>
    <row r="2860" spans="2:7" ht="11.25" outlineLevel="4" x14ac:dyDescent="0.2">
      <c r="B2860" s="14" t="s">
        <v>5438</v>
      </c>
      <c r="C2860" s="14" t="s">
        <v>5439</v>
      </c>
      <c r="D2860" s="14">
        <v>100</v>
      </c>
      <c r="E2860" s="15">
        <v>21.53</v>
      </c>
      <c r="F2860" s="16" t="s">
        <v>8</v>
      </c>
      <c r="G2860" s="38" t="str">
        <f>HYPERLINK("http://enext.ua/s040005")</f>
        <v>http://enext.ua/s040005</v>
      </c>
    </row>
    <row r="2861" spans="2:7" ht="11.25" outlineLevel="4" x14ac:dyDescent="0.2">
      <c r="B2861" s="14" t="s">
        <v>5440</v>
      </c>
      <c r="C2861" s="14" t="s">
        <v>5441</v>
      </c>
      <c r="D2861" s="14">
        <v>50</v>
      </c>
      <c r="E2861" s="15">
        <v>27.76</v>
      </c>
      <c r="F2861" s="16" t="s">
        <v>8</v>
      </c>
      <c r="G2861" s="38" t="str">
        <f>HYPERLINK("http://enext.ua/s040006")</f>
        <v>http://enext.ua/s040006</v>
      </c>
    </row>
    <row r="2862" spans="2:7" ht="11.25" outlineLevel="4" x14ac:dyDescent="0.2">
      <c r="B2862" s="14" t="s">
        <v>5442</v>
      </c>
      <c r="C2862" s="14" t="s">
        <v>5443</v>
      </c>
      <c r="D2862" s="14">
        <v>50</v>
      </c>
      <c r="E2862" s="15">
        <v>43.91</v>
      </c>
      <c r="F2862" s="16" t="s">
        <v>8</v>
      </c>
      <c r="G2862" s="38" t="str">
        <f>HYPERLINK("http://enext.ua/s040007")</f>
        <v>http://enext.ua/s040007</v>
      </c>
    </row>
    <row r="2863" spans="2:7" ht="11.25" outlineLevel="4" x14ac:dyDescent="0.2">
      <c r="B2863" s="14" t="s">
        <v>5444</v>
      </c>
      <c r="C2863" s="14" t="s">
        <v>5445</v>
      </c>
      <c r="D2863" s="14">
        <v>10</v>
      </c>
      <c r="E2863" s="15">
        <v>61.75</v>
      </c>
      <c r="F2863" s="16" t="s">
        <v>8</v>
      </c>
      <c r="G2863" s="38" t="str">
        <f>HYPERLINK("http://enext.ua/s040008")</f>
        <v>http://enext.ua/s040008</v>
      </c>
    </row>
    <row r="2864" spans="2:7" ht="11.25" outlineLevel="4" x14ac:dyDescent="0.2">
      <c r="B2864" s="14" t="s">
        <v>5446</v>
      </c>
      <c r="C2864" s="14" t="s">
        <v>5447</v>
      </c>
      <c r="D2864" s="14">
        <v>10</v>
      </c>
      <c r="E2864" s="15">
        <v>73.08</v>
      </c>
      <c r="F2864" s="16" t="s">
        <v>8</v>
      </c>
      <c r="G2864" s="38" t="str">
        <f>HYPERLINK("http://enext.ua/s040009")</f>
        <v>http://enext.ua/s040009</v>
      </c>
    </row>
    <row r="2865" spans="2:7" ht="11.25" outlineLevel="4" x14ac:dyDescent="0.2">
      <c r="B2865" s="14" t="s">
        <v>5448</v>
      </c>
      <c r="C2865" s="14" t="s">
        <v>5449</v>
      </c>
      <c r="D2865" s="14">
        <v>5</v>
      </c>
      <c r="E2865" s="15">
        <v>103.39</v>
      </c>
      <c r="F2865" s="16" t="s">
        <v>8</v>
      </c>
      <c r="G2865" s="38" t="str">
        <f>HYPERLINK("http://enext.ua/s040010")</f>
        <v>http://enext.ua/s040010</v>
      </c>
    </row>
    <row r="2866" spans="2:7" ht="11.25" outlineLevel="4" x14ac:dyDescent="0.2">
      <c r="B2866" s="14" t="s">
        <v>5450</v>
      </c>
      <c r="C2866" s="14" t="s">
        <v>5451</v>
      </c>
      <c r="D2866" s="14">
        <v>5</v>
      </c>
      <c r="E2866" s="15">
        <v>147.29</v>
      </c>
      <c r="F2866" s="16" t="s">
        <v>8</v>
      </c>
      <c r="G2866" s="38" t="str">
        <f>HYPERLINK("http://enext.ua/s040011")</f>
        <v>http://enext.ua/s040011</v>
      </c>
    </row>
    <row r="2867" spans="2:7" ht="12" outlineLevel="3" x14ac:dyDescent="0.2">
      <c r="B2867" s="10"/>
      <c r="C2867" s="36" t="s">
        <v>5452</v>
      </c>
      <c r="D2867" s="10"/>
      <c r="E2867" s="11"/>
      <c r="F2867" s="11"/>
      <c r="G2867" s="10"/>
    </row>
    <row r="2868" spans="2:7" ht="11.25" outlineLevel="4" x14ac:dyDescent="0.2">
      <c r="B2868" s="14" t="s">
        <v>5453</v>
      </c>
      <c r="C2868" s="14" t="s">
        <v>5454</v>
      </c>
      <c r="D2868" s="14">
        <v>100</v>
      </c>
      <c r="E2868" s="15">
        <v>2.5499999999999998</v>
      </c>
      <c r="F2868" s="16" t="s">
        <v>8</v>
      </c>
      <c r="G2868" s="38" t="str">
        <f>HYPERLINK("http://enext.ua/s19012")</f>
        <v>http://enext.ua/s19012</v>
      </c>
    </row>
    <row r="2869" spans="2:7" ht="11.25" outlineLevel="4" x14ac:dyDescent="0.2">
      <c r="B2869" s="14" t="s">
        <v>5455</v>
      </c>
      <c r="C2869" s="14" t="s">
        <v>5456</v>
      </c>
      <c r="D2869" s="14">
        <v>100</v>
      </c>
      <c r="E2869" s="15">
        <v>3.12</v>
      </c>
      <c r="F2869" s="16" t="s">
        <v>8</v>
      </c>
      <c r="G2869" s="38" t="str">
        <f>HYPERLINK("http://enext.ua/s19013")</f>
        <v>http://enext.ua/s19013</v>
      </c>
    </row>
    <row r="2870" spans="2:7" ht="11.25" outlineLevel="4" x14ac:dyDescent="0.2">
      <c r="B2870" s="14" t="s">
        <v>5457</v>
      </c>
      <c r="C2870" s="14" t="s">
        <v>5458</v>
      </c>
      <c r="D2870" s="14">
        <v>100</v>
      </c>
      <c r="E2870" s="15">
        <v>4.25</v>
      </c>
      <c r="F2870" s="16" t="s">
        <v>8</v>
      </c>
      <c r="G2870" s="38" t="str">
        <f>HYPERLINK("http://enext.ua/s19014")</f>
        <v>http://enext.ua/s19014</v>
      </c>
    </row>
    <row r="2871" spans="2:7" ht="11.25" outlineLevel="4" x14ac:dyDescent="0.2">
      <c r="B2871" s="14" t="s">
        <v>5459</v>
      </c>
      <c r="C2871" s="14" t="s">
        <v>5460</v>
      </c>
      <c r="D2871" s="14">
        <v>100</v>
      </c>
      <c r="E2871" s="15">
        <v>4.53</v>
      </c>
      <c r="F2871" s="16" t="s">
        <v>8</v>
      </c>
      <c r="G2871" s="38" t="str">
        <f>HYPERLINK("http://enext.ua/s19015")</f>
        <v>http://enext.ua/s19015</v>
      </c>
    </row>
    <row r="2872" spans="2:7" ht="11.25" outlineLevel="4" x14ac:dyDescent="0.2">
      <c r="B2872" s="14" t="s">
        <v>5461</v>
      </c>
      <c r="C2872" s="14" t="s">
        <v>5462</v>
      </c>
      <c r="D2872" s="14">
        <v>100</v>
      </c>
      <c r="E2872" s="15">
        <v>5.0999999999999996</v>
      </c>
      <c r="F2872" s="16" t="s">
        <v>8</v>
      </c>
      <c r="G2872" s="38" t="str">
        <f>HYPERLINK("http://enext.ua/s19001")</f>
        <v>http://enext.ua/s19001</v>
      </c>
    </row>
    <row r="2873" spans="2:7" ht="11.25" outlineLevel="4" x14ac:dyDescent="0.2">
      <c r="B2873" s="14" t="s">
        <v>5463</v>
      </c>
      <c r="C2873" s="14" t="s">
        <v>5464</v>
      </c>
      <c r="D2873" s="14">
        <v>100</v>
      </c>
      <c r="E2873" s="15">
        <v>6.23</v>
      </c>
      <c r="F2873" s="16" t="s">
        <v>8</v>
      </c>
      <c r="G2873" s="38" t="str">
        <f>HYPERLINK("http://enext.ua/s19002")</f>
        <v>http://enext.ua/s19002</v>
      </c>
    </row>
    <row r="2874" spans="2:7" ht="11.25" outlineLevel="4" x14ac:dyDescent="0.2">
      <c r="B2874" s="14" t="s">
        <v>5465</v>
      </c>
      <c r="C2874" s="14" t="s">
        <v>5466</v>
      </c>
      <c r="D2874" s="14">
        <v>100</v>
      </c>
      <c r="E2874" s="15">
        <v>7.65</v>
      </c>
      <c r="F2874" s="16" t="s">
        <v>8</v>
      </c>
      <c r="G2874" s="38" t="str">
        <f>HYPERLINK("http://enext.ua/s19003")</f>
        <v>http://enext.ua/s19003</v>
      </c>
    </row>
    <row r="2875" spans="2:7" ht="11.25" outlineLevel="4" x14ac:dyDescent="0.2">
      <c r="B2875" s="14" t="s">
        <v>5467</v>
      </c>
      <c r="C2875" s="14" t="s">
        <v>5468</v>
      </c>
      <c r="D2875" s="14">
        <v>100</v>
      </c>
      <c r="E2875" s="15">
        <v>10.76</v>
      </c>
      <c r="F2875" s="16" t="s">
        <v>8</v>
      </c>
      <c r="G2875" s="38" t="str">
        <f>HYPERLINK("http://enext.ua/s19004")</f>
        <v>http://enext.ua/s19004</v>
      </c>
    </row>
    <row r="2876" spans="2:7" ht="11.25" outlineLevel="4" x14ac:dyDescent="0.2">
      <c r="B2876" s="14" t="s">
        <v>5469</v>
      </c>
      <c r="C2876" s="14" t="s">
        <v>5470</v>
      </c>
      <c r="D2876" s="14">
        <v>100</v>
      </c>
      <c r="E2876" s="15">
        <v>17.559999999999999</v>
      </c>
      <c r="F2876" s="16" t="s">
        <v>8</v>
      </c>
      <c r="G2876" s="38" t="str">
        <f>HYPERLINK("http://enext.ua/s19005")</f>
        <v>http://enext.ua/s19005</v>
      </c>
    </row>
    <row r="2877" spans="2:7" ht="11.25" outlineLevel="4" x14ac:dyDescent="0.2">
      <c r="B2877" s="14" t="s">
        <v>5471</v>
      </c>
      <c r="C2877" s="14" t="s">
        <v>5472</v>
      </c>
      <c r="D2877" s="14">
        <v>50</v>
      </c>
      <c r="E2877" s="15">
        <v>25.78</v>
      </c>
      <c r="F2877" s="16" t="s">
        <v>8</v>
      </c>
      <c r="G2877" s="38" t="str">
        <f>HYPERLINK("http://enext.ua/s19006")</f>
        <v>http://enext.ua/s19006</v>
      </c>
    </row>
    <row r="2878" spans="2:7" ht="11.25" outlineLevel="4" x14ac:dyDescent="0.2">
      <c r="B2878" s="14" t="s">
        <v>5473</v>
      </c>
      <c r="C2878" s="14" t="s">
        <v>5474</v>
      </c>
      <c r="D2878" s="14">
        <v>50</v>
      </c>
      <c r="E2878" s="15">
        <v>40.79</v>
      </c>
      <c r="F2878" s="16" t="s">
        <v>8</v>
      </c>
      <c r="G2878" s="38" t="str">
        <f>HYPERLINK("http://enext.ua/s19007")</f>
        <v>http://enext.ua/s19007</v>
      </c>
    </row>
    <row r="2879" spans="2:7" ht="11.25" outlineLevel="4" x14ac:dyDescent="0.2">
      <c r="B2879" s="14" t="s">
        <v>5475</v>
      </c>
      <c r="C2879" s="14" t="s">
        <v>5476</v>
      </c>
      <c r="D2879" s="14">
        <v>10</v>
      </c>
      <c r="E2879" s="15">
        <v>58.07</v>
      </c>
      <c r="F2879" s="16" t="s">
        <v>8</v>
      </c>
      <c r="G2879" s="38" t="str">
        <f>HYPERLINK("http://enext.ua/s19008")</f>
        <v>http://enext.ua/s19008</v>
      </c>
    </row>
    <row r="2880" spans="2:7" ht="11.25" outlineLevel="4" x14ac:dyDescent="0.2">
      <c r="B2880" s="14" t="s">
        <v>5477</v>
      </c>
      <c r="C2880" s="14" t="s">
        <v>5478</v>
      </c>
      <c r="D2880" s="14">
        <v>10</v>
      </c>
      <c r="E2880" s="15">
        <v>77.900000000000006</v>
      </c>
      <c r="F2880" s="16" t="s">
        <v>8</v>
      </c>
      <c r="G2880" s="38" t="str">
        <f>HYPERLINK("http://enext.ua/s19009")</f>
        <v>http://enext.ua/s19009</v>
      </c>
    </row>
    <row r="2881" spans="2:7" ht="11.25" outlineLevel="4" x14ac:dyDescent="0.2">
      <c r="B2881" s="14" t="s">
        <v>5479</v>
      </c>
      <c r="C2881" s="14" t="s">
        <v>5480</v>
      </c>
      <c r="D2881" s="14">
        <v>5</v>
      </c>
      <c r="E2881" s="15">
        <v>99.99</v>
      </c>
      <c r="F2881" s="16" t="s">
        <v>8</v>
      </c>
      <c r="G2881" s="38" t="str">
        <f>HYPERLINK("http://enext.ua/s19010")</f>
        <v>http://enext.ua/s19010</v>
      </c>
    </row>
    <row r="2882" spans="2:7" ht="11.25" outlineLevel="4" x14ac:dyDescent="0.2">
      <c r="B2882" s="14" t="s">
        <v>5481</v>
      </c>
      <c r="C2882" s="14" t="s">
        <v>5482</v>
      </c>
      <c r="D2882" s="14">
        <v>5</v>
      </c>
      <c r="E2882" s="15">
        <v>132.28</v>
      </c>
      <c r="F2882" s="16" t="s">
        <v>8</v>
      </c>
      <c r="G2882" s="38" t="str">
        <f>HYPERLINK("http://enext.ua/s19011")</f>
        <v>http://enext.ua/s19011</v>
      </c>
    </row>
    <row r="2883" spans="2:7" ht="12" outlineLevel="3" x14ac:dyDescent="0.2">
      <c r="B2883" s="10"/>
      <c r="C2883" s="36" t="s">
        <v>5483</v>
      </c>
      <c r="D2883" s="10"/>
      <c r="E2883" s="11"/>
      <c r="F2883" s="11"/>
      <c r="G2883" s="10"/>
    </row>
    <row r="2884" spans="2:7" ht="11.25" outlineLevel="4" x14ac:dyDescent="0.2">
      <c r="B2884" s="14" t="s">
        <v>5484</v>
      </c>
      <c r="C2884" s="14" t="s">
        <v>5485</v>
      </c>
      <c r="D2884" s="14">
        <v>20</v>
      </c>
      <c r="E2884" s="15">
        <v>6.23</v>
      </c>
      <c r="F2884" s="16" t="s">
        <v>8</v>
      </c>
      <c r="G2884" s="38" t="str">
        <f>HYPERLINK("http://enext.ua/s020001")</f>
        <v>http://enext.ua/s020001</v>
      </c>
    </row>
    <row r="2885" spans="2:7" ht="11.25" outlineLevel="4" x14ac:dyDescent="0.2">
      <c r="B2885" s="14" t="s">
        <v>5486</v>
      </c>
      <c r="C2885" s="14" t="s">
        <v>5487</v>
      </c>
      <c r="D2885" s="14">
        <v>20</v>
      </c>
      <c r="E2885" s="15">
        <v>6.23</v>
      </c>
      <c r="F2885" s="16" t="s">
        <v>8</v>
      </c>
      <c r="G2885" s="38" t="str">
        <f>HYPERLINK("http://enext.ua/s020002")</f>
        <v>http://enext.ua/s020002</v>
      </c>
    </row>
    <row r="2886" spans="2:7" ht="11.25" outlineLevel="4" x14ac:dyDescent="0.2">
      <c r="B2886" s="14" t="s">
        <v>5488</v>
      </c>
      <c r="C2886" s="14" t="s">
        <v>5489</v>
      </c>
      <c r="D2886" s="14">
        <v>20</v>
      </c>
      <c r="E2886" s="15">
        <v>8.7899999999999991</v>
      </c>
      <c r="F2886" s="16" t="s">
        <v>8</v>
      </c>
      <c r="G2886" s="38" t="str">
        <f>HYPERLINK("http://enext.ua/s020003")</f>
        <v>http://enext.ua/s020003</v>
      </c>
    </row>
    <row r="2887" spans="2:7" ht="11.25" outlineLevel="4" x14ac:dyDescent="0.2">
      <c r="B2887" s="14" t="s">
        <v>5490</v>
      </c>
      <c r="C2887" s="14" t="s">
        <v>5491</v>
      </c>
      <c r="D2887" s="14">
        <v>20</v>
      </c>
      <c r="E2887" s="15">
        <v>11.9</v>
      </c>
      <c r="F2887" s="16" t="s">
        <v>8</v>
      </c>
      <c r="G2887" s="38" t="str">
        <f>HYPERLINK("http://enext.ua/s020004")</f>
        <v>http://enext.ua/s020004</v>
      </c>
    </row>
    <row r="2888" spans="2:7" ht="11.25" outlineLevel="4" x14ac:dyDescent="0.2">
      <c r="B2888" s="14" t="s">
        <v>5492</v>
      </c>
      <c r="C2888" s="14" t="s">
        <v>5493</v>
      </c>
      <c r="D2888" s="14">
        <v>10</v>
      </c>
      <c r="E2888" s="15">
        <v>15.02</v>
      </c>
      <c r="F2888" s="16" t="s">
        <v>8</v>
      </c>
      <c r="G2888" s="38" t="str">
        <f>HYPERLINK("http://enext.ua/s020005")</f>
        <v>http://enext.ua/s020005</v>
      </c>
    </row>
    <row r="2889" spans="2:7" ht="11.25" outlineLevel="4" x14ac:dyDescent="0.2">
      <c r="B2889" s="14" t="s">
        <v>5494</v>
      </c>
      <c r="C2889" s="14" t="s">
        <v>5495</v>
      </c>
      <c r="D2889" s="14">
        <v>100</v>
      </c>
      <c r="E2889" s="15">
        <v>17</v>
      </c>
      <c r="F2889" s="16" t="s">
        <v>8</v>
      </c>
      <c r="G2889" s="38" t="str">
        <f>HYPERLINK("http://enext.ua/s020012")</f>
        <v>http://enext.ua/s020012</v>
      </c>
    </row>
    <row r="2890" spans="2:7" ht="11.25" outlineLevel="4" x14ac:dyDescent="0.2">
      <c r="B2890" s="14" t="s">
        <v>5496</v>
      </c>
      <c r="C2890" s="14" t="s">
        <v>5497</v>
      </c>
      <c r="D2890" s="14">
        <v>10</v>
      </c>
      <c r="E2890" s="15">
        <v>20.12</v>
      </c>
      <c r="F2890" s="16" t="s">
        <v>8</v>
      </c>
      <c r="G2890" s="38" t="str">
        <f>HYPERLINK("http://enext.ua/s020006")</f>
        <v>http://enext.ua/s020006</v>
      </c>
    </row>
    <row r="2891" spans="2:7" ht="11.25" outlineLevel="4" x14ac:dyDescent="0.2">
      <c r="B2891" s="14" t="s">
        <v>5498</v>
      </c>
      <c r="C2891" s="14" t="s">
        <v>5499</v>
      </c>
      <c r="D2891" s="14">
        <v>10</v>
      </c>
      <c r="E2891" s="15">
        <v>28.33</v>
      </c>
      <c r="F2891" s="16" t="s">
        <v>8</v>
      </c>
      <c r="G2891" s="38" t="str">
        <f>HYPERLINK("http://enext.ua/s020007")</f>
        <v>http://enext.ua/s020007</v>
      </c>
    </row>
    <row r="2892" spans="2:7" ht="11.25" outlineLevel="4" x14ac:dyDescent="0.2">
      <c r="B2892" s="14" t="s">
        <v>5500</v>
      </c>
      <c r="C2892" s="14" t="s">
        <v>5501</v>
      </c>
      <c r="D2892" s="14">
        <v>5</v>
      </c>
      <c r="E2892" s="15">
        <v>34.56</v>
      </c>
      <c r="F2892" s="16" t="s">
        <v>8</v>
      </c>
      <c r="G2892" s="38" t="str">
        <f>HYPERLINK("http://enext.ua/s020008")</f>
        <v>http://enext.ua/s020008</v>
      </c>
    </row>
    <row r="2893" spans="2:7" ht="11.25" outlineLevel="4" x14ac:dyDescent="0.2">
      <c r="B2893" s="14" t="s">
        <v>5502</v>
      </c>
      <c r="C2893" s="14" t="s">
        <v>5503</v>
      </c>
      <c r="D2893" s="14">
        <v>5</v>
      </c>
      <c r="E2893" s="15">
        <v>44.75</v>
      </c>
      <c r="F2893" s="16" t="s">
        <v>8</v>
      </c>
      <c r="G2893" s="38" t="str">
        <f>HYPERLINK("http://enext.ua/s020009")</f>
        <v>http://enext.ua/s020009</v>
      </c>
    </row>
    <row r="2894" spans="2:7" ht="11.25" outlineLevel="4" x14ac:dyDescent="0.2">
      <c r="B2894" s="14" t="s">
        <v>5504</v>
      </c>
      <c r="C2894" s="14" t="s">
        <v>5505</v>
      </c>
      <c r="D2894" s="14">
        <v>4</v>
      </c>
      <c r="E2894" s="15">
        <v>47.31</v>
      </c>
      <c r="F2894" s="16" t="s">
        <v>8</v>
      </c>
      <c r="G2894" s="38" t="str">
        <f>HYPERLINK("http://enext.ua/s020010")</f>
        <v>http://enext.ua/s020010</v>
      </c>
    </row>
    <row r="2895" spans="2:7" ht="11.25" outlineLevel="4" x14ac:dyDescent="0.2">
      <c r="B2895" s="14" t="s">
        <v>5506</v>
      </c>
      <c r="C2895" s="14" t="s">
        <v>5507</v>
      </c>
      <c r="D2895" s="14">
        <v>4</v>
      </c>
      <c r="E2895" s="15">
        <v>64.87</v>
      </c>
      <c r="F2895" s="16" t="s">
        <v>8</v>
      </c>
      <c r="G2895" s="38" t="str">
        <f>HYPERLINK("http://enext.ua/s020011")</f>
        <v>http://enext.ua/s020011</v>
      </c>
    </row>
    <row r="2896" spans="2:7" ht="12" outlineLevel="3" x14ac:dyDescent="0.2">
      <c r="B2896" s="10"/>
      <c r="C2896" s="36" t="s">
        <v>5508</v>
      </c>
      <c r="D2896" s="10"/>
      <c r="E2896" s="11"/>
      <c r="F2896" s="11"/>
      <c r="G2896" s="10"/>
    </row>
    <row r="2897" spans="2:7" ht="11.25" outlineLevel="4" x14ac:dyDescent="0.2">
      <c r="B2897" s="14" t="s">
        <v>5509</v>
      </c>
      <c r="C2897" s="14" t="s">
        <v>5510</v>
      </c>
      <c r="D2897" s="14">
        <v>20</v>
      </c>
      <c r="E2897" s="15">
        <v>26.91</v>
      </c>
      <c r="F2897" s="16" t="s">
        <v>8</v>
      </c>
      <c r="G2897" s="38" t="str">
        <f>HYPERLINK("http://enext.ua/s039001")</f>
        <v>http://enext.ua/s039001</v>
      </c>
    </row>
    <row r="2898" spans="2:7" ht="11.25" outlineLevel="4" x14ac:dyDescent="0.2">
      <c r="B2898" s="14" t="s">
        <v>5511</v>
      </c>
      <c r="C2898" s="14" t="s">
        <v>5512</v>
      </c>
      <c r="D2898" s="14">
        <v>20</v>
      </c>
      <c r="E2898" s="15">
        <v>32.01</v>
      </c>
      <c r="F2898" s="16" t="s">
        <v>8</v>
      </c>
      <c r="G2898" s="38" t="str">
        <f>HYPERLINK("http://enext.ua/s039002")</f>
        <v>http://enext.ua/s039002</v>
      </c>
    </row>
    <row r="2899" spans="2:7" ht="11.25" outlineLevel="4" x14ac:dyDescent="0.2">
      <c r="B2899" s="14" t="s">
        <v>5513</v>
      </c>
      <c r="C2899" s="14" t="s">
        <v>5514</v>
      </c>
      <c r="D2899" s="14">
        <v>20</v>
      </c>
      <c r="E2899" s="15">
        <v>41.64</v>
      </c>
      <c r="F2899" s="16" t="s">
        <v>8</v>
      </c>
      <c r="G2899" s="38" t="str">
        <f>HYPERLINK("http://enext.ua/s039003")</f>
        <v>http://enext.ua/s039003</v>
      </c>
    </row>
    <row r="2900" spans="2:7" ht="11.25" outlineLevel="4" x14ac:dyDescent="0.2">
      <c r="B2900" s="14" t="s">
        <v>5515</v>
      </c>
      <c r="C2900" s="14" t="s">
        <v>5516</v>
      </c>
      <c r="D2900" s="14">
        <v>20</v>
      </c>
      <c r="E2900" s="15">
        <v>52.97</v>
      </c>
      <c r="F2900" s="16" t="s">
        <v>8</v>
      </c>
      <c r="G2900" s="38" t="str">
        <f>HYPERLINK("http://enext.ua/s039004")</f>
        <v>http://enext.ua/s039004</v>
      </c>
    </row>
    <row r="2901" spans="2:7" ht="11.25" outlineLevel="4" x14ac:dyDescent="0.2">
      <c r="B2901" s="14" t="s">
        <v>5517</v>
      </c>
      <c r="C2901" s="14" t="s">
        <v>5518</v>
      </c>
      <c r="D2901" s="14">
        <v>10</v>
      </c>
      <c r="E2901" s="15">
        <v>71.67</v>
      </c>
      <c r="F2901" s="16" t="s">
        <v>8</v>
      </c>
      <c r="G2901" s="38" t="str">
        <f>HYPERLINK("http://enext.ua/s039005")</f>
        <v>http://enext.ua/s039005</v>
      </c>
    </row>
    <row r="2902" spans="2:7" ht="11.25" outlineLevel="4" x14ac:dyDescent="0.2">
      <c r="B2902" s="14" t="s">
        <v>5519</v>
      </c>
      <c r="C2902" s="14" t="s">
        <v>5520</v>
      </c>
      <c r="D2902" s="14">
        <v>10</v>
      </c>
      <c r="E2902" s="15">
        <v>98.86</v>
      </c>
      <c r="F2902" s="16" t="s">
        <v>8</v>
      </c>
      <c r="G2902" s="38" t="str">
        <f>HYPERLINK("http://enext.ua/s039006")</f>
        <v>http://enext.ua/s039006</v>
      </c>
    </row>
    <row r="2903" spans="2:7" ht="11.25" outlineLevel="4" x14ac:dyDescent="0.2">
      <c r="B2903" s="14" t="s">
        <v>5521</v>
      </c>
      <c r="C2903" s="14" t="s">
        <v>5522</v>
      </c>
      <c r="D2903" s="14">
        <v>10</v>
      </c>
      <c r="E2903" s="15">
        <v>137.38</v>
      </c>
      <c r="F2903" s="16" t="s">
        <v>8</v>
      </c>
      <c r="G2903" s="38" t="str">
        <f>HYPERLINK("http://enext.ua/s039007")</f>
        <v>http://enext.ua/s039007</v>
      </c>
    </row>
    <row r="2904" spans="2:7" ht="11.25" outlineLevel="4" x14ac:dyDescent="0.2">
      <c r="B2904" s="14" t="s">
        <v>5523</v>
      </c>
      <c r="C2904" s="14" t="s">
        <v>5524</v>
      </c>
      <c r="D2904" s="14">
        <v>8</v>
      </c>
      <c r="E2904" s="15">
        <v>179.87</v>
      </c>
      <c r="F2904" s="16" t="s">
        <v>8</v>
      </c>
      <c r="G2904" s="38" t="str">
        <f>HYPERLINK("http://enext.ua/s039008")</f>
        <v>http://enext.ua/s039008</v>
      </c>
    </row>
    <row r="2905" spans="2:7" ht="11.25" outlineLevel="4" x14ac:dyDescent="0.2">
      <c r="B2905" s="14" t="s">
        <v>5525</v>
      </c>
      <c r="C2905" s="14" t="s">
        <v>5526</v>
      </c>
      <c r="D2905" s="14">
        <v>5</v>
      </c>
      <c r="E2905" s="15">
        <v>228.59</v>
      </c>
      <c r="F2905" s="16" t="s">
        <v>8</v>
      </c>
      <c r="G2905" s="38" t="str">
        <f>HYPERLINK("http://enext.ua/s039009")</f>
        <v>http://enext.ua/s039009</v>
      </c>
    </row>
    <row r="2906" spans="2:7" ht="11.25" outlineLevel="4" x14ac:dyDescent="0.2">
      <c r="B2906" s="14" t="s">
        <v>5527</v>
      </c>
      <c r="C2906" s="14" t="s">
        <v>5528</v>
      </c>
      <c r="D2906" s="14">
        <v>4</v>
      </c>
      <c r="E2906" s="15">
        <v>286.94</v>
      </c>
      <c r="F2906" s="16" t="s">
        <v>8</v>
      </c>
      <c r="G2906" s="38" t="str">
        <f>HYPERLINK("http://enext.ua/s039010")</f>
        <v>http://enext.ua/s039010</v>
      </c>
    </row>
    <row r="2907" spans="2:7" ht="11.25" outlineLevel="4" x14ac:dyDescent="0.2">
      <c r="B2907" s="14" t="s">
        <v>5529</v>
      </c>
      <c r="C2907" s="14" t="s">
        <v>5530</v>
      </c>
      <c r="D2907" s="14">
        <v>4</v>
      </c>
      <c r="E2907" s="15">
        <v>375.02</v>
      </c>
      <c r="F2907" s="16" t="s">
        <v>8</v>
      </c>
      <c r="G2907" s="38" t="str">
        <f>HYPERLINK("http://enext.ua/s039011")</f>
        <v>http://enext.ua/s039011</v>
      </c>
    </row>
    <row r="2908" spans="2:7" ht="12" outlineLevel="3" x14ac:dyDescent="0.2">
      <c r="B2908" s="10"/>
      <c r="C2908" s="36" t="s">
        <v>5531</v>
      </c>
      <c r="D2908" s="10"/>
      <c r="E2908" s="11"/>
      <c r="F2908" s="11"/>
      <c r="G2908" s="10"/>
    </row>
    <row r="2909" spans="2:7" ht="11.25" outlineLevel="4" x14ac:dyDescent="0.2">
      <c r="B2909" s="14" t="s">
        <v>5532</v>
      </c>
      <c r="C2909" s="14" t="s">
        <v>5533</v>
      </c>
      <c r="D2909" s="14">
        <v>240</v>
      </c>
      <c r="E2909" s="15">
        <v>15.58</v>
      </c>
      <c r="F2909" s="16" t="s">
        <v>8</v>
      </c>
      <c r="G2909" s="38" t="str">
        <f>HYPERLINK("http://enext.ua/s060001")</f>
        <v>http://enext.ua/s060001</v>
      </c>
    </row>
    <row r="2910" spans="2:7" ht="11.25" outlineLevel="4" x14ac:dyDescent="0.2">
      <c r="B2910" s="14" t="s">
        <v>5534</v>
      </c>
      <c r="C2910" s="14" t="s">
        <v>5535</v>
      </c>
      <c r="D2910" s="14">
        <v>200</v>
      </c>
      <c r="E2910" s="15">
        <v>19.55</v>
      </c>
      <c r="F2910" s="16" t="s">
        <v>8</v>
      </c>
      <c r="G2910" s="38" t="str">
        <f>HYPERLINK("http://enext.ua/s060002")</f>
        <v>http://enext.ua/s060002</v>
      </c>
    </row>
    <row r="2911" spans="2:7" ht="11.25" outlineLevel="4" x14ac:dyDescent="0.2">
      <c r="B2911" s="14" t="s">
        <v>5536</v>
      </c>
      <c r="C2911" s="14" t="s">
        <v>5537</v>
      </c>
      <c r="D2911" s="14">
        <v>160</v>
      </c>
      <c r="E2911" s="15">
        <v>24.65</v>
      </c>
      <c r="F2911" s="16" t="s">
        <v>8</v>
      </c>
      <c r="G2911" s="38" t="str">
        <f>HYPERLINK("http://enext.ua/s060003")</f>
        <v>http://enext.ua/s060003</v>
      </c>
    </row>
    <row r="2912" spans="2:7" ht="11.25" outlineLevel="4" x14ac:dyDescent="0.2">
      <c r="B2912" s="14" t="s">
        <v>5538</v>
      </c>
      <c r="C2912" s="14" t="s">
        <v>5539</v>
      </c>
      <c r="D2912" s="14">
        <v>100</v>
      </c>
      <c r="E2912" s="15">
        <v>29.75</v>
      </c>
      <c r="F2912" s="16" t="s">
        <v>8</v>
      </c>
      <c r="G2912" s="38" t="str">
        <f>HYPERLINK("http://enext.ua/s060004")</f>
        <v>http://enext.ua/s060004</v>
      </c>
    </row>
    <row r="2913" spans="2:7" ht="11.25" outlineLevel="4" x14ac:dyDescent="0.2">
      <c r="B2913" s="14" t="s">
        <v>5540</v>
      </c>
      <c r="C2913" s="14" t="s">
        <v>5541</v>
      </c>
      <c r="D2913" s="14">
        <v>60</v>
      </c>
      <c r="E2913" s="15">
        <v>43.91</v>
      </c>
      <c r="F2913" s="16" t="s">
        <v>8</v>
      </c>
      <c r="G2913" s="38" t="str">
        <f>HYPERLINK("http://enext.ua/s060005")</f>
        <v>http://enext.ua/s060005</v>
      </c>
    </row>
    <row r="2914" spans="2:7" ht="11.25" outlineLevel="4" x14ac:dyDescent="0.2">
      <c r="B2914" s="14" t="s">
        <v>5542</v>
      </c>
      <c r="C2914" s="14" t="s">
        <v>5543</v>
      </c>
      <c r="D2914" s="14">
        <v>40</v>
      </c>
      <c r="E2914" s="15">
        <v>79.31</v>
      </c>
      <c r="F2914" s="16" t="s">
        <v>8</v>
      </c>
      <c r="G2914" s="38" t="str">
        <f>HYPERLINK("http://enext.ua/s060006")</f>
        <v>http://enext.ua/s060006</v>
      </c>
    </row>
    <row r="2915" spans="2:7" ht="11.25" outlineLevel="4" x14ac:dyDescent="0.2">
      <c r="B2915" s="14" t="s">
        <v>5544</v>
      </c>
      <c r="C2915" s="14" t="s">
        <v>5545</v>
      </c>
      <c r="D2915" s="14">
        <v>20</v>
      </c>
      <c r="E2915" s="15">
        <v>93.19</v>
      </c>
      <c r="F2915" s="16" t="s">
        <v>8</v>
      </c>
      <c r="G2915" s="38" t="str">
        <f>HYPERLINK("http://enext.ua/s060007")</f>
        <v>http://enext.ua/s060007</v>
      </c>
    </row>
    <row r="2916" spans="2:7" ht="11.25" outlineLevel="4" x14ac:dyDescent="0.2">
      <c r="B2916" s="14" t="s">
        <v>5546</v>
      </c>
      <c r="C2916" s="14" t="s">
        <v>5547</v>
      </c>
      <c r="D2916" s="14">
        <v>35</v>
      </c>
      <c r="E2916" s="15">
        <v>120.1</v>
      </c>
      <c r="F2916" s="16" t="s">
        <v>8</v>
      </c>
      <c r="G2916" s="38" t="str">
        <f>HYPERLINK("http://enext.ua/s060008")</f>
        <v>http://enext.ua/s060008</v>
      </c>
    </row>
    <row r="2917" spans="2:7" ht="11.25" outlineLevel="4" x14ac:dyDescent="0.2">
      <c r="B2917" s="14" t="s">
        <v>5548</v>
      </c>
      <c r="C2917" s="14" t="s">
        <v>5549</v>
      </c>
      <c r="D2917" s="14">
        <v>20</v>
      </c>
      <c r="E2917" s="15">
        <v>154.38</v>
      </c>
      <c r="F2917" s="16" t="s">
        <v>8</v>
      </c>
      <c r="G2917" s="38" t="str">
        <f>HYPERLINK("http://enext.ua/s060009")</f>
        <v>http://enext.ua/s060009</v>
      </c>
    </row>
    <row r="2918" spans="2:7" ht="11.25" outlineLevel="4" x14ac:dyDescent="0.2">
      <c r="B2918" s="14" t="s">
        <v>5550</v>
      </c>
      <c r="C2918" s="14" t="s">
        <v>5551</v>
      </c>
      <c r="D2918" s="14">
        <v>10</v>
      </c>
      <c r="E2918" s="15">
        <v>204.51</v>
      </c>
      <c r="F2918" s="16" t="s">
        <v>8</v>
      </c>
      <c r="G2918" s="38" t="str">
        <f>HYPERLINK("http://enext.ua/s060010")</f>
        <v>http://enext.ua/s060010</v>
      </c>
    </row>
    <row r="2919" spans="2:7" ht="11.25" outlineLevel="4" x14ac:dyDescent="0.2">
      <c r="B2919" s="14" t="s">
        <v>5552</v>
      </c>
      <c r="C2919" s="14" t="s">
        <v>5553</v>
      </c>
      <c r="D2919" s="14">
        <v>1</v>
      </c>
      <c r="E2919" s="15">
        <v>205.07</v>
      </c>
      <c r="F2919" s="16" t="s">
        <v>8</v>
      </c>
      <c r="G2919" s="38" t="str">
        <f>HYPERLINK("http://enext.ua/s060011")</f>
        <v>http://enext.ua/s060011</v>
      </c>
    </row>
    <row r="2920" spans="2:7" ht="12" outlineLevel="3" x14ac:dyDescent="0.2">
      <c r="B2920" s="10"/>
      <c r="C2920" s="36" t="s">
        <v>5554</v>
      </c>
      <c r="D2920" s="10"/>
      <c r="E2920" s="11"/>
      <c r="F2920" s="11"/>
      <c r="G2920" s="10"/>
    </row>
    <row r="2921" spans="2:7" ht="11.25" outlineLevel="4" x14ac:dyDescent="0.2">
      <c r="B2921" s="14" t="s">
        <v>5555</v>
      </c>
      <c r="C2921" s="14" t="s">
        <v>5556</v>
      </c>
      <c r="D2921" s="14">
        <v>20</v>
      </c>
      <c r="E2921" s="15">
        <v>28.33</v>
      </c>
      <c r="F2921" s="16" t="s">
        <v>8</v>
      </c>
      <c r="G2921" s="38" t="str">
        <f>HYPERLINK("http://enext.ua/s021001")</f>
        <v>http://enext.ua/s021001</v>
      </c>
    </row>
    <row r="2922" spans="2:7" ht="11.25" outlineLevel="4" x14ac:dyDescent="0.2">
      <c r="B2922" s="14" t="s">
        <v>5557</v>
      </c>
      <c r="C2922" s="14" t="s">
        <v>5558</v>
      </c>
      <c r="D2922" s="14">
        <v>20</v>
      </c>
      <c r="E2922" s="15">
        <v>38.24</v>
      </c>
      <c r="F2922" s="16" t="s">
        <v>8</v>
      </c>
      <c r="G2922" s="38" t="str">
        <f>HYPERLINK("http://enext.ua/s021002")</f>
        <v>http://enext.ua/s021002</v>
      </c>
    </row>
    <row r="2923" spans="2:7" ht="11.25" outlineLevel="4" x14ac:dyDescent="0.2">
      <c r="B2923" s="14" t="s">
        <v>5559</v>
      </c>
      <c r="C2923" s="14" t="s">
        <v>5560</v>
      </c>
      <c r="D2923" s="14">
        <v>20</v>
      </c>
      <c r="E2923" s="15">
        <v>45.32</v>
      </c>
      <c r="F2923" s="16" t="s">
        <v>8</v>
      </c>
      <c r="G2923" s="38" t="str">
        <f>HYPERLINK("http://enext.ua/s021003")</f>
        <v>http://enext.ua/s021003</v>
      </c>
    </row>
    <row r="2924" spans="2:7" ht="11.25" outlineLevel="4" x14ac:dyDescent="0.2">
      <c r="B2924" s="14" t="s">
        <v>5561</v>
      </c>
      <c r="C2924" s="14" t="s">
        <v>5562</v>
      </c>
      <c r="D2924" s="14">
        <v>20</v>
      </c>
      <c r="E2924" s="15">
        <v>61.75</v>
      </c>
      <c r="F2924" s="16" t="s">
        <v>8</v>
      </c>
      <c r="G2924" s="38" t="str">
        <f>HYPERLINK("http://enext.ua/s021004")</f>
        <v>http://enext.ua/s021004</v>
      </c>
    </row>
    <row r="2925" spans="2:7" ht="11.25" outlineLevel="4" x14ac:dyDescent="0.2">
      <c r="B2925" s="14" t="s">
        <v>5563</v>
      </c>
      <c r="C2925" s="14" t="s">
        <v>5564</v>
      </c>
      <c r="D2925" s="14">
        <v>10</v>
      </c>
      <c r="E2925" s="15">
        <v>79.88</v>
      </c>
      <c r="F2925" s="16" t="s">
        <v>8</v>
      </c>
      <c r="G2925" s="38" t="str">
        <f>HYPERLINK("http://enext.ua/s021005")</f>
        <v>http://enext.ua/s021005</v>
      </c>
    </row>
    <row r="2926" spans="2:7" ht="11.25" outlineLevel="4" x14ac:dyDescent="0.2">
      <c r="B2926" s="14" t="s">
        <v>5565</v>
      </c>
      <c r="C2926" s="14" t="s">
        <v>5566</v>
      </c>
      <c r="D2926" s="14">
        <v>10</v>
      </c>
      <c r="E2926" s="15">
        <v>112.17</v>
      </c>
      <c r="F2926" s="16" t="s">
        <v>8</v>
      </c>
      <c r="G2926" s="38" t="str">
        <f>HYPERLINK("http://enext.ua/s021006")</f>
        <v>http://enext.ua/s021006</v>
      </c>
    </row>
    <row r="2927" spans="2:7" ht="11.25" outlineLevel="4" x14ac:dyDescent="0.2">
      <c r="B2927" s="14" t="s">
        <v>5567</v>
      </c>
      <c r="C2927" s="14" t="s">
        <v>5568</v>
      </c>
      <c r="D2927" s="14">
        <v>5</v>
      </c>
      <c r="E2927" s="15">
        <v>166.56</v>
      </c>
      <c r="F2927" s="16" t="s">
        <v>8</v>
      </c>
      <c r="G2927" s="38" t="str">
        <f>HYPERLINK("http://enext.ua/s021007")</f>
        <v>http://enext.ua/s021007</v>
      </c>
    </row>
    <row r="2928" spans="2:7" ht="11.25" outlineLevel="4" x14ac:dyDescent="0.2">
      <c r="B2928" s="14" t="s">
        <v>5569</v>
      </c>
      <c r="C2928" s="14" t="s">
        <v>5570</v>
      </c>
      <c r="D2928" s="14">
        <v>5</v>
      </c>
      <c r="E2928" s="15">
        <v>201.96</v>
      </c>
      <c r="F2928" s="16" t="s">
        <v>8</v>
      </c>
      <c r="G2928" s="38" t="str">
        <f>HYPERLINK("http://enext.ua/s021008")</f>
        <v>http://enext.ua/s021008</v>
      </c>
    </row>
    <row r="2929" spans="2:7" ht="11.25" outlineLevel="4" x14ac:dyDescent="0.2">
      <c r="B2929" s="14" t="s">
        <v>5571</v>
      </c>
      <c r="C2929" s="14" t="s">
        <v>5572</v>
      </c>
      <c r="D2929" s="14">
        <v>5</v>
      </c>
      <c r="E2929" s="15">
        <v>269.38</v>
      </c>
      <c r="F2929" s="16" t="s">
        <v>8</v>
      </c>
      <c r="G2929" s="38" t="str">
        <f>HYPERLINK("http://enext.ua/s021009")</f>
        <v>http://enext.ua/s021009</v>
      </c>
    </row>
    <row r="2930" spans="2:7" ht="11.25" outlineLevel="4" x14ac:dyDescent="0.2">
      <c r="B2930" s="14" t="s">
        <v>5573</v>
      </c>
      <c r="C2930" s="14" t="s">
        <v>5574</v>
      </c>
      <c r="D2930" s="14">
        <v>4</v>
      </c>
      <c r="E2930" s="15">
        <v>345.57</v>
      </c>
      <c r="F2930" s="16" t="s">
        <v>8</v>
      </c>
      <c r="G2930" s="38" t="str">
        <f>HYPERLINK("http://enext.ua/s021010")</f>
        <v>http://enext.ua/s021010</v>
      </c>
    </row>
    <row r="2931" spans="2:7" ht="11.25" outlineLevel="4" x14ac:dyDescent="0.2">
      <c r="B2931" s="14" t="s">
        <v>5575</v>
      </c>
      <c r="C2931" s="14" t="s">
        <v>5576</v>
      </c>
      <c r="D2931" s="14">
        <v>4</v>
      </c>
      <c r="E2931" s="15">
        <v>401.65</v>
      </c>
      <c r="F2931" s="16" t="s">
        <v>8</v>
      </c>
      <c r="G2931" s="38" t="str">
        <f>HYPERLINK("http://enext.ua/s021011")</f>
        <v>http://enext.ua/s021011</v>
      </c>
    </row>
    <row r="2932" spans="2:7" ht="24" outlineLevel="3" x14ac:dyDescent="0.2">
      <c r="B2932" s="10"/>
      <c r="C2932" s="36" t="s">
        <v>5577</v>
      </c>
      <c r="D2932" s="10"/>
      <c r="E2932" s="11"/>
      <c r="F2932" s="11"/>
      <c r="G2932" s="10"/>
    </row>
    <row r="2933" spans="2:7" ht="11.25" outlineLevel="4" x14ac:dyDescent="0.2">
      <c r="B2933" s="14" t="s">
        <v>5578</v>
      </c>
      <c r="C2933" s="14" t="s">
        <v>5579</v>
      </c>
      <c r="D2933" s="14">
        <v>20</v>
      </c>
      <c r="E2933" s="15">
        <v>13.88</v>
      </c>
      <c r="F2933" s="16" t="s">
        <v>8</v>
      </c>
      <c r="G2933" s="38" t="str">
        <f>HYPERLINK("http://enext.ua/s038001")</f>
        <v>http://enext.ua/s038001</v>
      </c>
    </row>
    <row r="2934" spans="2:7" ht="11.25" outlineLevel="4" x14ac:dyDescent="0.2">
      <c r="B2934" s="14" t="s">
        <v>5580</v>
      </c>
      <c r="C2934" s="14" t="s">
        <v>5581</v>
      </c>
      <c r="D2934" s="14">
        <v>20</v>
      </c>
      <c r="E2934" s="15">
        <v>15.86</v>
      </c>
      <c r="F2934" s="16" t="s">
        <v>8</v>
      </c>
      <c r="G2934" s="38" t="str">
        <f>HYPERLINK("http://enext.ua/s038002")</f>
        <v>http://enext.ua/s038002</v>
      </c>
    </row>
    <row r="2935" spans="2:7" ht="11.25" outlineLevel="4" x14ac:dyDescent="0.2">
      <c r="B2935" s="14" t="s">
        <v>5582</v>
      </c>
      <c r="C2935" s="14" t="s">
        <v>5583</v>
      </c>
      <c r="D2935" s="14">
        <v>20</v>
      </c>
      <c r="E2935" s="15">
        <v>16.43</v>
      </c>
      <c r="F2935" s="16" t="s">
        <v>8</v>
      </c>
      <c r="G2935" s="38" t="str">
        <f>HYPERLINK("http://enext.ua/s038003")</f>
        <v>http://enext.ua/s038003</v>
      </c>
    </row>
    <row r="2936" spans="2:7" ht="11.25" outlineLevel="4" x14ac:dyDescent="0.2">
      <c r="B2936" s="14" t="s">
        <v>5584</v>
      </c>
      <c r="C2936" s="14" t="s">
        <v>5585</v>
      </c>
      <c r="D2936" s="14">
        <v>10</v>
      </c>
      <c r="E2936" s="15">
        <v>26.35</v>
      </c>
      <c r="F2936" s="16" t="s">
        <v>8</v>
      </c>
      <c r="G2936" s="38" t="str">
        <f>HYPERLINK("http://enext.ua/s038004")</f>
        <v>http://enext.ua/s038004</v>
      </c>
    </row>
    <row r="2937" spans="2:7" ht="11.25" outlineLevel="4" x14ac:dyDescent="0.2">
      <c r="B2937" s="14" t="s">
        <v>5586</v>
      </c>
      <c r="C2937" s="14" t="s">
        <v>5587</v>
      </c>
      <c r="D2937" s="14">
        <v>10</v>
      </c>
      <c r="E2937" s="15">
        <v>32.01</v>
      </c>
      <c r="F2937" s="16" t="s">
        <v>8</v>
      </c>
      <c r="G2937" s="38" t="str">
        <f>HYPERLINK("http://enext.ua/s038005")</f>
        <v>http://enext.ua/s038005</v>
      </c>
    </row>
    <row r="2938" spans="2:7" ht="11.25" outlineLevel="4" x14ac:dyDescent="0.2">
      <c r="B2938" s="14" t="s">
        <v>5588</v>
      </c>
      <c r="C2938" s="14" t="s">
        <v>5589</v>
      </c>
      <c r="D2938" s="14">
        <v>10</v>
      </c>
      <c r="E2938" s="15">
        <v>44.19</v>
      </c>
      <c r="F2938" s="16" t="s">
        <v>8</v>
      </c>
      <c r="G2938" s="38" t="str">
        <f>HYPERLINK("http://enext.ua/s038006")</f>
        <v>http://enext.ua/s038006</v>
      </c>
    </row>
    <row r="2939" spans="2:7" ht="11.25" outlineLevel="4" x14ac:dyDescent="0.2">
      <c r="B2939" s="14" t="s">
        <v>5590</v>
      </c>
      <c r="C2939" s="14" t="s">
        <v>5591</v>
      </c>
      <c r="D2939" s="14">
        <v>10</v>
      </c>
      <c r="E2939" s="15">
        <v>64.87</v>
      </c>
      <c r="F2939" s="16" t="s">
        <v>8</v>
      </c>
      <c r="G2939" s="38" t="str">
        <f>HYPERLINK("http://enext.ua/s038007")</f>
        <v>http://enext.ua/s038007</v>
      </c>
    </row>
    <row r="2940" spans="2:7" ht="11.25" outlineLevel="4" x14ac:dyDescent="0.2">
      <c r="B2940" s="14" t="s">
        <v>5592</v>
      </c>
      <c r="C2940" s="14" t="s">
        <v>5593</v>
      </c>
      <c r="D2940" s="14">
        <v>5</v>
      </c>
      <c r="E2940" s="15">
        <v>84.98</v>
      </c>
      <c r="F2940" s="16" t="s">
        <v>8</v>
      </c>
      <c r="G2940" s="38" t="str">
        <f>HYPERLINK("http://enext.ua/s038008")</f>
        <v>http://enext.ua/s038008</v>
      </c>
    </row>
    <row r="2941" spans="2:7" ht="11.25" outlineLevel="4" x14ac:dyDescent="0.2">
      <c r="B2941" s="14" t="s">
        <v>5594</v>
      </c>
      <c r="C2941" s="14" t="s">
        <v>5595</v>
      </c>
      <c r="D2941" s="14">
        <v>5</v>
      </c>
      <c r="E2941" s="15">
        <v>104.52</v>
      </c>
      <c r="F2941" s="16" t="s">
        <v>8</v>
      </c>
      <c r="G2941" s="38" t="str">
        <f>HYPERLINK("http://enext.ua/s038009")</f>
        <v>http://enext.ua/s038009</v>
      </c>
    </row>
    <row r="2942" spans="2:7" ht="11.25" outlineLevel="4" x14ac:dyDescent="0.2">
      <c r="B2942" s="14" t="s">
        <v>5596</v>
      </c>
      <c r="C2942" s="14" t="s">
        <v>5597</v>
      </c>
      <c r="D2942" s="14">
        <v>4</v>
      </c>
      <c r="E2942" s="15">
        <v>123.5</v>
      </c>
      <c r="F2942" s="16" t="s">
        <v>8</v>
      </c>
      <c r="G2942" s="38" t="str">
        <f>HYPERLINK("http://enext.ua/s038010")</f>
        <v>http://enext.ua/s038010</v>
      </c>
    </row>
    <row r="2943" spans="2:7" ht="11.25" outlineLevel="4" x14ac:dyDescent="0.2">
      <c r="B2943" s="14" t="s">
        <v>5598</v>
      </c>
      <c r="C2943" s="14" t="s">
        <v>5599</v>
      </c>
      <c r="D2943" s="14">
        <v>4</v>
      </c>
      <c r="E2943" s="15">
        <v>152.38999999999999</v>
      </c>
      <c r="F2943" s="16" t="s">
        <v>8</v>
      </c>
      <c r="G2943" s="38" t="str">
        <f>HYPERLINK("http://enext.ua/s038011")</f>
        <v>http://enext.ua/s038011</v>
      </c>
    </row>
    <row r="2944" spans="2:7" ht="24" outlineLevel="3" x14ac:dyDescent="0.2">
      <c r="B2944" s="10"/>
      <c r="C2944" s="36" t="s">
        <v>5600</v>
      </c>
      <c r="D2944" s="10"/>
      <c r="E2944" s="11"/>
      <c r="F2944" s="11"/>
      <c r="G2944" s="10"/>
    </row>
    <row r="2945" spans="2:7" ht="11.25" outlineLevel="4" x14ac:dyDescent="0.2">
      <c r="B2945" s="14" t="s">
        <v>5601</v>
      </c>
      <c r="C2945" s="14" t="s">
        <v>5602</v>
      </c>
      <c r="D2945" s="14">
        <v>100</v>
      </c>
      <c r="E2945" s="15">
        <v>2.5499999999999998</v>
      </c>
      <c r="F2945" s="16" t="s">
        <v>8</v>
      </c>
      <c r="G2945" s="38" t="str">
        <f>HYPERLINK("http://enext.ua/s041001")</f>
        <v>http://enext.ua/s041001</v>
      </c>
    </row>
    <row r="2946" spans="2:7" ht="11.25" outlineLevel="4" x14ac:dyDescent="0.2">
      <c r="B2946" s="14" t="s">
        <v>5603</v>
      </c>
      <c r="C2946" s="14" t="s">
        <v>5604</v>
      </c>
      <c r="D2946" s="14">
        <v>100</v>
      </c>
      <c r="E2946" s="15">
        <v>2.5499999999999998</v>
      </c>
      <c r="F2946" s="16" t="s">
        <v>8</v>
      </c>
      <c r="G2946" s="38" t="str">
        <f>HYPERLINK("http://enext.ua/s041002")</f>
        <v>http://enext.ua/s041002</v>
      </c>
    </row>
    <row r="2947" spans="2:7" ht="11.25" outlineLevel="4" x14ac:dyDescent="0.2">
      <c r="B2947" s="14" t="s">
        <v>5605</v>
      </c>
      <c r="C2947" s="14" t="s">
        <v>5606</v>
      </c>
      <c r="D2947" s="14">
        <v>100</v>
      </c>
      <c r="E2947" s="15">
        <v>3.12</v>
      </c>
      <c r="F2947" s="16" t="s">
        <v>8</v>
      </c>
      <c r="G2947" s="38" t="str">
        <f>HYPERLINK("http://enext.ua/s041003")</f>
        <v>http://enext.ua/s041003</v>
      </c>
    </row>
    <row r="2948" spans="2:7" ht="11.25" outlineLevel="4" x14ac:dyDescent="0.2">
      <c r="B2948" s="14" t="s">
        <v>5607</v>
      </c>
      <c r="C2948" s="14" t="s">
        <v>5608</v>
      </c>
      <c r="D2948" s="14">
        <v>100</v>
      </c>
      <c r="E2948" s="15">
        <v>5.0999999999999996</v>
      </c>
      <c r="F2948" s="16" t="s">
        <v>8</v>
      </c>
      <c r="G2948" s="38" t="str">
        <f>HYPERLINK("http://enext.ua/s041004")</f>
        <v>http://enext.ua/s041004</v>
      </c>
    </row>
    <row r="2949" spans="2:7" ht="11.25" outlineLevel="4" x14ac:dyDescent="0.2">
      <c r="B2949" s="14" t="s">
        <v>5609</v>
      </c>
      <c r="C2949" s="14" t="s">
        <v>5610</v>
      </c>
      <c r="D2949" s="14">
        <v>20</v>
      </c>
      <c r="E2949" s="15">
        <v>6.8</v>
      </c>
      <c r="F2949" s="16" t="s">
        <v>8</v>
      </c>
      <c r="G2949" s="38" t="str">
        <f>HYPERLINK("http://enext.ua/s041005")</f>
        <v>http://enext.ua/s041005</v>
      </c>
    </row>
    <row r="2950" spans="2:7" ht="11.25" outlineLevel="4" x14ac:dyDescent="0.2">
      <c r="B2950" s="14" t="s">
        <v>5611</v>
      </c>
      <c r="C2950" s="14" t="s">
        <v>5612</v>
      </c>
      <c r="D2950" s="14">
        <v>20</v>
      </c>
      <c r="E2950" s="15">
        <v>8.2200000000000006</v>
      </c>
      <c r="F2950" s="16" t="s">
        <v>8</v>
      </c>
      <c r="G2950" s="38" t="str">
        <f>HYPERLINK("http://enext.ua/s041006")</f>
        <v>http://enext.ua/s041006</v>
      </c>
    </row>
    <row r="2951" spans="2:7" ht="11.25" outlineLevel="4" x14ac:dyDescent="0.2">
      <c r="B2951" s="14" t="s">
        <v>5613</v>
      </c>
      <c r="C2951" s="14" t="s">
        <v>5614</v>
      </c>
      <c r="D2951" s="14">
        <v>20</v>
      </c>
      <c r="E2951" s="15">
        <v>11.33</v>
      </c>
      <c r="F2951" s="16" t="s">
        <v>8</v>
      </c>
      <c r="G2951" s="38" t="str">
        <f>HYPERLINK("http://enext.ua/s041007")</f>
        <v>http://enext.ua/s041007</v>
      </c>
    </row>
    <row r="2952" spans="2:7" ht="11.25" outlineLevel="4" x14ac:dyDescent="0.2">
      <c r="B2952" s="14" t="s">
        <v>5615</v>
      </c>
      <c r="C2952" s="14" t="s">
        <v>5616</v>
      </c>
      <c r="D2952" s="14">
        <v>20</v>
      </c>
      <c r="E2952" s="15">
        <v>17</v>
      </c>
      <c r="F2952" s="16" t="s">
        <v>8</v>
      </c>
      <c r="G2952" s="38" t="str">
        <f>HYPERLINK("http://enext.ua/s041008")</f>
        <v>http://enext.ua/s041008</v>
      </c>
    </row>
    <row r="2953" spans="2:7" ht="11.25" outlineLevel="4" x14ac:dyDescent="0.2">
      <c r="B2953" s="14" t="s">
        <v>5617</v>
      </c>
      <c r="C2953" s="14" t="s">
        <v>5618</v>
      </c>
      <c r="D2953" s="14">
        <v>20</v>
      </c>
      <c r="E2953" s="15">
        <v>28.89</v>
      </c>
      <c r="F2953" s="16" t="s">
        <v>8</v>
      </c>
      <c r="G2953" s="38" t="str">
        <f>HYPERLINK("http://enext.ua/s041009")</f>
        <v>http://enext.ua/s041009</v>
      </c>
    </row>
    <row r="2954" spans="2:7" ht="11.25" outlineLevel="4" x14ac:dyDescent="0.2">
      <c r="B2954" s="14" t="s">
        <v>5619</v>
      </c>
      <c r="C2954" s="14" t="s">
        <v>5620</v>
      </c>
      <c r="D2954" s="14">
        <v>10</v>
      </c>
      <c r="E2954" s="15">
        <v>36.54</v>
      </c>
      <c r="F2954" s="16" t="s">
        <v>8</v>
      </c>
      <c r="G2954" s="38" t="str">
        <f>HYPERLINK("http://enext.ua/s041010")</f>
        <v>http://enext.ua/s041010</v>
      </c>
    </row>
    <row r="2955" spans="2:7" ht="11.25" outlineLevel="4" x14ac:dyDescent="0.2">
      <c r="B2955" s="14" t="s">
        <v>5621</v>
      </c>
      <c r="C2955" s="14" t="s">
        <v>5622</v>
      </c>
      <c r="D2955" s="14">
        <v>10</v>
      </c>
      <c r="E2955" s="15">
        <v>58.07</v>
      </c>
      <c r="F2955" s="16" t="s">
        <v>8</v>
      </c>
      <c r="G2955" s="38" t="str">
        <f>HYPERLINK("http://enext.ua/s041011")</f>
        <v>http://enext.ua/s041011</v>
      </c>
    </row>
    <row r="2956" spans="2:7" ht="11.25" outlineLevel="4" x14ac:dyDescent="0.2">
      <c r="B2956" s="14" t="s">
        <v>5623</v>
      </c>
      <c r="C2956" s="14" t="s">
        <v>5624</v>
      </c>
      <c r="D2956" s="14">
        <v>10</v>
      </c>
      <c r="E2956" s="15">
        <v>80.44</v>
      </c>
      <c r="F2956" s="16" t="s">
        <v>8</v>
      </c>
      <c r="G2956" s="38" t="str">
        <f>HYPERLINK("http://enext.ua/s041012")</f>
        <v>http://enext.ua/s041012</v>
      </c>
    </row>
    <row r="2957" spans="2:7" ht="11.25" outlineLevel="4" x14ac:dyDescent="0.2">
      <c r="B2957" s="14" t="s">
        <v>5625</v>
      </c>
      <c r="C2957" s="14" t="s">
        <v>5626</v>
      </c>
      <c r="D2957" s="14">
        <v>5</v>
      </c>
      <c r="E2957" s="15">
        <v>101.97</v>
      </c>
      <c r="F2957" s="16" t="s">
        <v>8</v>
      </c>
      <c r="G2957" s="38" t="str">
        <f>HYPERLINK("http://enext.ua/s041013")</f>
        <v>http://enext.ua/s041013</v>
      </c>
    </row>
    <row r="2958" spans="2:7" ht="11.25" outlineLevel="4" x14ac:dyDescent="0.2">
      <c r="B2958" s="14" t="s">
        <v>5627</v>
      </c>
      <c r="C2958" s="14" t="s">
        <v>5628</v>
      </c>
      <c r="D2958" s="14">
        <v>5</v>
      </c>
      <c r="E2958" s="15">
        <v>129.16</v>
      </c>
      <c r="F2958" s="16" t="s">
        <v>8</v>
      </c>
      <c r="G2958" s="38" t="str">
        <f>HYPERLINK("http://enext.ua/s041014")</f>
        <v>http://enext.ua/s041014</v>
      </c>
    </row>
    <row r="2959" spans="2:7" ht="11.25" outlineLevel="4" x14ac:dyDescent="0.2">
      <c r="B2959" s="14" t="s">
        <v>5629</v>
      </c>
      <c r="C2959" s="14" t="s">
        <v>5630</v>
      </c>
      <c r="D2959" s="14">
        <v>5</v>
      </c>
      <c r="E2959" s="15">
        <v>161.74</v>
      </c>
      <c r="F2959" s="16" t="s">
        <v>8</v>
      </c>
      <c r="G2959" s="38" t="str">
        <f>HYPERLINK("http://enext.ua/s041015")</f>
        <v>http://enext.ua/s041015</v>
      </c>
    </row>
    <row r="2960" spans="2:7" ht="12" outlineLevel="3" x14ac:dyDescent="0.2">
      <c r="B2960" s="10"/>
      <c r="C2960" s="36" t="s">
        <v>5631</v>
      </c>
      <c r="D2960" s="10"/>
      <c r="E2960" s="11"/>
      <c r="F2960" s="11"/>
      <c r="G2960" s="10"/>
    </row>
    <row r="2961" spans="2:7" ht="11.25" outlineLevel="4" x14ac:dyDescent="0.2">
      <c r="B2961" s="14" t="s">
        <v>5632</v>
      </c>
      <c r="C2961" s="14" t="s">
        <v>5633</v>
      </c>
      <c r="D2961" s="14">
        <v>10</v>
      </c>
      <c r="E2961" s="15">
        <v>47.31</v>
      </c>
      <c r="F2961" s="16" t="s">
        <v>8</v>
      </c>
      <c r="G2961" s="38" t="str">
        <f>HYPERLINK("http://enext.ua/s0170001")</f>
        <v>http://enext.ua/s0170001</v>
      </c>
    </row>
    <row r="2962" spans="2:7" ht="11.25" outlineLevel="4" x14ac:dyDescent="0.2">
      <c r="B2962" s="14" t="s">
        <v>5634</v>
      </c>
      <c r="C2962" s="14" t="s">
        <v>5635</v>
      </c>
      <c r="D2962" s="14">
        <v>1</v>
      </c>
      <c r="E2962" s="15">
        <v>75.069999999999993</v>
      </c>
      <c r="F2962" s="16" t="s">
        <v>8</v>
      </c>
      <c r="G2962" s="38" t="str">
        <f>HYPERLINK("http://enext.ua/s0170002")</f>
        <v>http://enext.ua/s0170002</v>
      </c>
    </row>
    <row r="2963" spans="2:7" ht="11.25" outlineLevel="4" x14ac:dyDescent="0.2">
      <c r="B2963" s="14" t="s">
        <v>5636</v>
      </c>
      <c r="C2963" s="14" t="s">
        <v>5637</v>
      </c>
      <c r="D2963" s="14">
        <v>1</v>
      </c>
      <c r="E2963" s="15">
        <v>112.17</v>
      </c>
      <c r="F2963" s="16" t="s">
        <v>8</v>
      </c>
      <c r="G2963" s="38" t="str">
        <f>HYPERLINK("http://enext.ua/s0170003")</f>
        <v>http://enext.ua/s0170003</v>
      </c>
    </row>
    <row r="2964" spans="2:7" ht="11.25" outlineLevel="4" x14ac:dyDescent="0.2">
      <c r="B2964" s="14" t="s">
        <v>5638</v>
      </c>
      <c r="C2964" s="14" t="s">
        <v>5639</v>
      </c>
      <c r="D2964" s="14">
        <v>1</v>
      </c>
      <c r="E2964" s="15">
        <v>117.55</v>
      </c>
      <c r="F2964" s="16" t="s">
        <v>8</v>
      </c>
      <c r="G2964" s="38" t="str">
        <f>HYPERLINK("http://enext.ua/s0170004")</f>
        <v>http://enext.ua/s0170004</v>
      </c>
    </row>
    <row r="2965" spans="2:7" ht="11.25" outlineLevel="4" x14ac:dyDescent="0.2">
      <c r="B2965" s="14" t="s">
        <v>5640</v>
      </c>
      <c r="C2965" s="14" t="s">
        <v>5641</v>
      </c>
      <c r="D2965" s="14">
        <v>20</v>
      </c>
      <c r="E2965" s="15">
        <v>202.53</v>
      </c>
      <c r="F2965" s="16" t="s">
        <v>8</v>
      </c>
      <c r="G2965" s="38" t="str">
        <f>HYPERLINK("http://enext.ua/s0170005")</f>
        <v>http://enext.ua/s0170005</v>
      </c>
    </row>
    <row r="2966" spans="2:7" ht="11.25" outlineLevel="4" x14ac:dyDescent="0.2">
      <c r="B2966" s="14" t="s">
        <v>5642</v>
      </c>
      <c r="C2966" s="14" t="s">
        <v>5643</v>
      </c>
      <c r="D2966" s="14">
        <v>1</v>
      </c>
      <c r="E2966" s="15">
        <v>285.24</v>
      </c>
      <c r="F2966" s="16" t="s">
        <v>8</v>
      </c>
      <c r="G2966" s="38" t="str">
        <f>HYPERLINK("http://enext.ua/s0170007")</f>
        <v>http://enext.ua/s0170007</v>
      </c>
    </row>
    <row r="2967" spans="2:7" ht="11.25" outlineLevel="4" x14ac:dyDescent="0.2">
      <c r="B2967" s="14" t="s">
        <v>5644</v>
      </c>
      <c r="C2967" s="14" t="s">
        <v>5645</v>
      </c>
      <c r="D2967" s="14">
        <v>1</v>
      </c>
      <c r="E2967" s="15">
        <v>367.09</v>
      </c>
      <c r="F2967" s="16" t="s">
        <v>8</v>
      </c>
      <c r="G2967" s="38" t="str">
        <f>HYPERLINK("http://enext.ua/s0170008")</f>
        <v>http://enext.ua/s0170008</v>
      </c>
    </row>
    <row r="2968" spans="2:7" ht="11.25" outlineLevel="4" x14ac:dyDescent="0.2">
      <c r="B2968" s="14" t="s">
        <v>5646</v>
      </c>
      <c r="C2968" s="14" t="s">
        <v>5647</v>
      </c>
      <c r="D2968" s="14">
        <v>1</v>
      </c>
      <c r="E2968" s="15">
        <v>367.09</v>
      </c>
      <c r="F2968" s="16" t="s">
        <v>8</v>
      </c>
      <c r="G2968" s="38" t="str">
        <f>HYPERLINK("http://enext.ua/s0170006")</f>
        <v>http://enext.ua/s0170006</v>
      </c>
    </row>
    <row r="2969" spans="2:7" ht="12" outlineLevel="3" x14ac:dyDescent="0.2">
      <c r="B2969" s="10"/>
      <c r="C2969" s="36" t="s">
        <v>5648</v>
      </c>
      <c r="D2969" s="10"/>
      <c r="E2969" s="11"/>
      <c r="F2969" s="11"/>
      <c r="G2969" s="10"/>
    </row>
    <row r="2970" spans="2:7" ht="12" outlineLevel="4" x14ac:dyDescent="0.2">
      <c r="B2970" s="12"/>
      <c r="C2970" s="37" t="s">
        <v>5649</v>
      </c>
      <c r="D2970" s="12"/>
      <c r="E2970" s="13"/>
      <c r="F2970" s="13"/>
      <c r="G2970" s="12"/>
    </row>
    <row r="2971" spans="2:7" ht="11.25" outlineLevel="5" x14ac:dyDescent="0.2">
      <c r="B2971" s="14" t="s">
        <v>5650</v>
      </c>
      <c r="C2971" s="14" t="s">
        <v>5651</v>
      </c>
      <c r="D2971" s="14">
        <v>1</v>
      </c>
      <c r="E2971" s="15">
        <v>73.08</v>
      </c>
      <c r="F2971" s="16" t="s">
        <v>4092</v>
      </c>
      <c r="G2971" s="38" t="str">
        <f>HYPERLINK("http://enext.ua/s1036003")</f>
        <v>http://enext.ua/s1036003</v>
      </c>
    </row>
    <row r="2972" spans="2:7" ht="11.25" outlineLevel="5" x14ac:dyDescent="0.2">
      <c r="B2972" s="14" t="s">
        <v>5652</v>
      </c>
      <c r="C2972" s="14" t="s">
        <v>5653</v>
      </c>
      <c r="D2972" s="14">
        <v>1</v>
      </c>
      <c r="E2972" s="15">
        <v>73.08</v>
      </c>
      <c r="F2972" s="16" t="s">
        <v>4092</v>
      </c>
      <c r="G2972" s="38" t="str">
        <f>HYPERLINK("http://enext.ua/s1036004")</f>
        <v>http://enext.ua/s1036004</v>
      </c>
    </row>
    <row r="2973" spans="2:7" ht="11.25" outlineLevel="5" x14ac:dyDescent="0.2">
      <c r="B2973" s="14" t="s">
        <v>5654</v>
      </c>
      <c r="C2973" s="14" t="s">
        <v>5655</v>
      </c>
      <c r="D2973" s="14">
        <v>1</v>
      </c>
      <c r="E2973" s="15">
        <v>73.08</v>
      </c>
      <c r="F2973" s="16" t="s">
        <v>4092</v>
      </c>
      <c r="G2973" s="38" t="str">
        <f>HYPERLINK("http://enext.ua/s1036005")</f>
        <v>http://enext.ua/s1036005</v>
      </c>
    </row>
    <row r="2974" spans="2:7" ht="11.25" outlineLevel="5" x14ac:dyDescent="0.2">
      <c r="B2974" s="14" t="s">
        <v>5656</v>
      </c>
      <c r="C2974" s="14" t="s">
        <v>5657</v>
      </c>
      <c r="D2974" s="14">
        <v>1</v>
      </c>
      <c r="E2974" s="15">
        <v>73.08</v>
      </c>
      <c r="F2974" s="16" t="s">
        <v>4092</v>
      </c>
      <c r="G2974" s="38" t="str">
        <f>HYPERLINK("http://enext.ua/s1036006")</f>
        <v>http://enext.ua/s1036006</v>
      </c>
    </row>
    <row r="2975" spans="2:7" ht="11.25" outlineLevel="5" x14ac:dyDescent="0.2">
      <c r="B2975" s="14" t="s">
        <v>5658</v>
      </c>
      <c r="C2975" s="14" t="s">
        <v>5659</v>
      </c>
      <c r="D2975" s="14">
        <v>1</v>
      </c>
      <c r="E2975" s="15">
        <v>73.08</v>
      </c>
      <c r="F2975" s="16" t="s">
        <v>4092</v>
      </c>
      <c r="G2975" s="38" t="str">
        <f>HYPERLINK("http://enext.ua/s1036007")</f>
        <v>http://enext.ua/s1036007</v>
      </c>
    </row>
    <row r="2976" spans="2:7" ht="11.25" outlineLevel="5" x14ac:dyDescent="0.2">
      <c r="B2976" s="14" t="s">
        <v>5660</v>
      </c>
      <c r="C2976" s="14" t="s">
        <v>5661</v>
      </c>
      <c r="D2976" s="14">
        <v>1</v>
      </c>
      <c r="E2976" s="15">
        <v>73.08</v>
      </c>
      <c r="F2976" s="16" t="s">
        <v>4092</v>
      </c>
      <c r="G2976" s="38" t="str">
        <f>HYPERLINK("http://enext.ua/s1036001")</f>
        <v>http://enext.ua/s1036001</v>
      </c>
    </row>
    <row r="2977" spans="2:7" ht="11.25" outlineLevel="5" x14ac:dyDescent="0.2">
      <c r="B2977" s="14" t="s">
        <v>5662</v>
      </c>
      <c r="C2977" s="14" t="s">
        <v>5663</v>
      </c>
      <c r="D2977" s="14">
        <v>1</v>
      </c>
      <c r="E2977" s="15">
        <v>73.08</v>
      </c>
      <c r="F2977" s="16" t="s">
        <v>4092</v>
      </c>
      <c r="G2977" s="38" t="str">
        <f>HYPERLINK("http://enext.ua/s1036002")</f>
        <v>http://enext.ua/s1036002</v>
      </c>
    </row>
    <row r="2978" spans="2:7" ht="11.25" outlineLevel="5" x14ac:dyDescent="0.2">
      <c r="B2978" s="14" t="s">
        <v>5664</v>
      </c>
      <c r="C2978" s="14" t="s">
        <v>5665</v>
      </c>
      <c r="D2978" s="14">
        <v>1</v>
      </c>
      <c r="E2978" s="15">
        <v>130.30000000000001</v>
      </c>
      <c r="F2978" s="16" t="s">
        <v>4092</v>
      </c>
      <c r="G2978" s="38" t="str">
        <f>HYPERLINK("http://enext.ua/s1036010")</f>
        <v>http://enext.ua/s1036010</v>
      </c>
    </row>
    <row r="2979" spans="2:7" ht="11.25" outlineLevel="5" x14ac:dyDescent="0.2">
      <c r="B2979" s="14" t="s">
        <v>5666</v>
      </c>
      <c r="C2979" s="14" t="s">
        <v>5667</v>
      </c>
      <c r="D2979" s="14">
        <v>1</v>
      </c>
      <c r="E2979" s="15">
        <v>130.30000000000001</v>
      </c>
      <c r="F2979" s="16" t="s">
        <v>4092</v>
      </c>
      <c r="G2979" s="38" t="str">
        <f>HYPERLINK("http://enext.ua/s1036011")</f>
        <v>http://enext.ua/s1036011</v>
      </c>
    </row>
    <row r="2980" spans="2:7" ht="11.25" outlineLevel="5" x14ac:dyDescent="0.2">
      <c r="B2980" s="14" t="s">
        <v>5668</v>
      </c>
      <c r="C2980" s="14" t="s">
        <v>5669</v>
      </c>
      <c r="D2980" s="14">
        <v>1</v>
      </c>
      <c r="E2980" s="15">
        <v>130.30000000000001</v>
      </c>
      <c r="F2980" s="16" t="s">
        <v>4092</v>
      </c>
      <c r="G2980" s="38" t="str">
        <f>HYPERLINK("http://enext.ua/s1036012")</f>
        <v>http://enext.ua/s1036012</v>
      </c>
    </row>
    <row r="2981" spans="2:7" ht="11.25" outlineLevel="5" x14ac:dyDescent="0.2">
      <c r="B2981" s="14" t="s">
        <v>5670</v>
      </c>
      <c r="C2981" s="14" t="s">
        <v>5671</v>
      </c>
      <c r="D2981" s="14">
        <v>1</v>
      </c>
      <c r="E2981" s="15">
        <v>130.30000000000001</v>
      </c>
      <c r="F2981" s="16" t="s">
        <v>4092</v>
      </c>
      <c r="G2981" s="38" t="str">
        <f>HYPERLINK("http://enext.ua/s1036013")</f>
        <v>http://enext.ua/s1036013</v>
      </c>
    </row>
    <row r="2982" spans="2:7" ht="11.25" outlineLevel="5" x14ac:dyDescent="0.2">
      <c r="B2982" s="14" t="s">
        <v>5672</v>
      </c>
      <c r="C2982" s="14" t="s">
        <v>5673</v>
      </c>
      <c r="D2982" s="14">
        <v>1</v>
      </c>
      <c r="E2982" s="15">
        <v>130.30000000000001</v>
      </c>
      <c r="F2982" s="16" t="s">
        <v>4092</v>
      </c>
      <c r="G2982" s="38" t="str">
        <f>HYPERLINK("http://enext.ua/s1036014")</f>
        <v>http://enext.ua/s1036014</v>
      </c>
    </row>
    <row r="2983" spans="2:7" ht="11.25" outlineLevel="5" x14ac:dyDescent="0.2">
      <c r="B2983" s="14" t="s">
        <v>5674</v>
      </c>
      <c r="C2983" s="14" t="s">
        <v>5675</v>
      </c>
      <c r="D2983" s="14">
        <v>1</v>
      </c>
      <c r="E2983" s="15">
        <v>130.30000000000001</v>
      </c>
      <c r="F2983" s="16" t="s">
        <v>4092</v>
      </c>
      <c r="G2983" s="38" t="str">
        <f>HYPERLINK("http://enext.ua/s1036008")</f>
        <v>http://enext.ua/s1036008</v>
      </c>
    </row>
    <row r="2984" spans="2:7" ht="11.25" outlineLevel="5" x14ac:dyDescent="0.2">
      <c r="B2984" s="14" t="s">
        <v>5676</v>
      </c>
      <c r="C2984" s="14" t="s">
        <v>5677</v>
      </c>
      <c r="D2984" s="14">
        <v>1</v>
      </c>
      <c r="E2984" s="15">
        <v>130.30000000000001</v>
      </c>
      <c r="F2984" s="16" t="s">
        <v>4092</v>
      </c>
      <c r="G2984" s="38" t="str">
        <f>HYPERLINK("http://enext.ua/s1036009")</f>
        <v>http://enext.ua/s1036009</v>
      </c>
    </row>
    <row r="2985" spans="2:7" ht="11.25" outlineLevel="5" x14ac:dyDescent="0.2">
      <c r="B2985" s="14" t="s">
        <v>5678</v>
      </c>
      <c r="C2985" s="14" t="s">
        <v>5679</v>
      </c>
      <c r="D2985" s="14">
        <v>1</v>
      </c>
      <c r="E2985" s="15">
        <v>124.06</v>
      </c>
      <c r="F2985" s="16" t="s">
        <v>4092</v>
      </c>
      <c r="G2985" s="38" t="str">
        <f>HYPERLINK("http://enext.ua/s1036017")</f>
        <v>http://enext.ua/s1036017</v>
      </c>
    </row>
    <row r="2986" spans="2:7" ht="11.25" outlineLevel="5" x14ac:dyDescent="0.2">
      <c r="B2986" s="14" t="s">
        <v>5680</v>
      </c>
      <c r="C2986" s="14" t="s">
        <v>5681</v>
      </c>
      <c r="D2986" s="14">
        <v>1</v>
      </c>
      <c r="E2986" s="15">
        <v>124.06</v>
      </c>
      <c r="F2986" s="16" t="s">
        <v>4092</v>
      </c>
      <c r="G2986" s="38" t="str">
        <f>HYPERLINK("http://enext.ua/s1036018")</f>
        <v>http://enext.ua/s1036018</v>
      </c>
    </row>
    <row r="2987" spans="2:7" ht="11.25" outlineLevel="5" x14ac:dyDescent="0.2">
      <c r="B2987" s="14" t="s">
        <v>5682</v>
      </c>
      <c r="C2987" s="14" t="s">
        <v>5683</v>
      </c>
      <c r="D2987" s="14">
        <v>1</v>
      </c>
      <c r="E2987" s="15">
        <v>124.06</v>
      </c>
      <c r="F2987" s="16" t="s">
        <v>4092</v>
      </c>
      <c r="G2987" s="38" t="str">
        <f>HYPERLINK("http://enext.ua/s1036019")</f>
        <v>http://enext.ua/s1036019</v>
      </c>
    </row>
    <row r="2988" spans="2:7" ht="11.25" outlineLevel="5" x14ac:dyDescent="0.2">
      <c r="B2988" s="14" t="s">
        <v>5684</v>
      </c>
      <c r="C2988" s="14" t="s">
        <v>5685</v>
      </c>
      <c r="D2988" s="14">
        <v>1</v>
      </c>
      <c r="E2988" s="15">
        <v>124.06</v>
      </c>
      <c r="F2988" s="16" t="s">
        <v>4092</v>
      </c>
      <c r="G2988" s="38" t="str">
        <f>HYPERLINK("http://enext.ua/s1036020")</f>
        <v>http://enext.ua/s1036020</v>
      </c>
    </row>
    <row r="2989" spans="2:7" ht="11.25" outlineLevel="5" x14ac:dyDescent="0.2">
      <c r="B2989" s="14" t="s">
        <v>5686</v>
      </c>
      <c r="C2989" s="14" t="s">
        <v>5687</v>
      </c>
      <c r="D2989" s="14">
        <v>1</v>
      </c>
      <c r="E2989" s="15">
        <v>124.06</v>
      </c>
      <c r="F2989" s="16" t="s">
        <v>4092</v>
      </c>
      <c r="G2989" s="38" t="str">
        <f>HYPERLINK("http://enext.ua/s1036021")</f>
        <v>http://enext.ua/s1036021</v>
      </c>
    </row>
    <row r="2990" spans="2:7" ht="11.25" outlineLevel="5" x14ac:dyDescent="0.2">
      <c r="B2990" s="14" t="s">
        <v>5688</v>
      </c>
      <c r="C2990" s="14" t="s">
        <v>5689</v>
      </c>
      <c r="D2990" s="14">
        <v>1</v>
      </c>
      <c r="E2990" s="15">
        <v>124.06</v>
      </c>
      <c r="F2990" s="16" t="s">
        <v>4092</v>
      </c>
      <c r="G2990" s="38" t="str">
        <f>HYPERLINK("http://enext.ua/s1036015")</f>
        <v>http://enext.ua/s1036015</v>
      </c>
    </row>
    <row r="2991" spans="2:7" ht="11.25" outlineLevel="5" x14ac:dyDescent="0.2">
      <c r="B2991" s="14" t="s">
        <v>5690</v>
      </c>
      <c r="C2991" s="14" t="s">
        <v>5691</v>
      </c>
      <c r="D2991" s="14">
        <v>1</v>
      </c>
      <c r="E2991" s="15">
        <v>124.06</v>
      </c>
      <c r="F2991" s="16" t="s">
        <v>4092</v>
      </c>
      <c r="G2991" s="38" t="str">
        <f>HYPERLINK("http://enext.ua/s1036016")</f>
        <v>http://enext.ua/s1036016</v>
      </c>
    </row>
    <row r="2992" spans="2:7" ht="11.25" outlineLevel="5" x14ac:dyDescent="0.2">
      <c r="B2992" s="14" t="s">
        <v>5692</v>
      </c>
      <c r="C2992" s="14" t="s">
        <v>5693</v>
      </c>
      <c r="D2992" s="14">
        <v>1</v>
      </c>
      <c r="E2992" s="15">
        <v>158.62</v>
      </c>
      <c r="F2992" s="16" t="s">
        <v>4092</v>
      </c>
      <c r="G2992" s="38" t="str">
        <f>HYPERLINK("http://enext.ua/s1036024")</f>
        <v>http://enext.ua/s1036024</v>
      </c>
    </row>
    <row r="2993" spans="2:7" ht="11.25" outlineLevel="5" x14ac:dyDescent="0.2">
      <c r="B2993" s="14" t="s">
        <v>5694</v>
      </c>
      <c r="C2993" s="14" t="s">
        <v>5695</v>
      </c>
      <c r="D2993" s="14">
        <v>1</v>
      </c>
      <c r="E2993" s="15">
        <v>158.62</v>
      </c>
      <c r="F2993" s="16" t="s">
        <v>4092</v>
      </c>
      <c r="G2993" s="38" t="str">
        <f>HYPERLINK("http://enext.ua/s1036025")</f>
        <v>http://enext.ua/s1036025</v>
      </c>
    </row>
    <row r="2994" spans="2:7" ht="11.25" outlineLevel="5" x14ac:dyDescent="0.2">
      <c r="B2994" s="14" t="s">
        <v>5696</v>
      </c>
      <c r="C2994" s="14" t="s">
        <v>5697</v>
      </c>
      <c r="D2994" s="14">
        <v>1</v>
      </c>
      <c r="E2994" s="15">
        <v>158.62</v>
      </c>
      <c r="F2994" s="16" t="s">
        <v>4092</v>
      </c>
      <c r="G2994" s="38" t="str">
        <f>HYPERLINK("http://enext.ua/s1036026")</f>
        <v>http://enext.ua/s1036026</v>
      </c>
    </row>
    <row r="2995" spans="2:7" ht="11.25" outlineLevel="5" x14ac:dyDescent="0.2">
      <c r="B2995" s="14" t="s">
        <v>5698</v>
      </c>
      <c r="C2995" s="14" t="s">
        <v>5699</v>
      </c>
      <c r="D2995" s="14">
        <v>1</v>
      </c>
      <c r="E2995" s="15">
        <v>158.62</v>
      </c>
      <c r="F2995" s="16" t="s">
        <v>4092</v>
      </c>
      <c r="G2995" s="38" t="str">
        <f>HYPERLINK("http://enext.ua/s1036027")</f>
        <v>http://enext.ua/s1036027</v>
      </c>
    </row>
    <row r="2996" spans="2:7" ht="11.25" outlineLevel="5" x14ac:dyDescent="0.2">
      <c r="B2996" s="14" t="s">
        <v>5700</v>
      </c>
      <c r="C2996" s="14" t="s">
        <v>5701</v>
      </c>
      <c r="D2996" s="14">
        <v>1</v>
      </c>
      <c r="E2996" s="15">
        <v>158.62</v>
      </c>
      <c r="F2996" s="16" t="s">
        <v>4092</v>
      </c>
      <c r="G2996" s="38" t="str">
        <f>HYPERLINK("http://enext.ua/s1036028")</f>
        <v>http://enext.ua/s1036028</v>
      </c>
    </row>
    <row r="2997" spans="2:7" ht="11.25" outlineLevel="5" x14ac:dyDescent="0.2">
      <c r="B2997" s="14" t="s">
        <v>5702</v>
      </c>
      <c r="C2997" s="14" t="s">
        <v>5703</v>
      </c>
      <c r="D2997" s="14">
        <v>1</v>
      </c>
      <c r="E2997" s="15">
        <v>158.62</v>
      </c>
      <c r="F2997" s="16" t="s">
        <v>4092</v>
      </c>
      <c r="G2997" s="38" t="str">
        <f>HYPERLINK("http://enext.ua/s1036022")</f>
        <v>http://enext.ua/s1036022</v>
      </c>
    </row>
    <row r="2998" spans="2:7" ht="11.25" outlineLevel="5" x14ac:dyDescent="0.2">
      <c r="B2998" s="14" t="s">
        <v>5704</v>
      </c>
      <c r="C2998" s="14" t="s">
        <v>5705</v>
      </c>
      <c r="D2998" s="14">
        <v>1</v>
      </c>
      <c r="E2998" s="15">
        <v>158.62</v>
      </c>
      <c r="F2998" s="16" t="s">
        <v>4092</v>
      </c>
      <c r="G2998" s="38" t="str">
        <f>HYPERLINK("http://enext.ua/s1036023")</f>
        <v>http://enext.ua/s1036023</v>
      </c>
    </row>
    <row r="2999" spans="2:7" ht="11.25" outlineLevel="5" x14ac:dyDescent="0.2">
      <c r="B2999" s="14" t="s">
        <v>5706</v>
      </c>
      <c r="C2999" s="14" t="s">
        <v>5707</v>
      </c>
      <c r="D2999" s="14">
        <v>1</v>
      </c>
      <c r="E2999" s="15">
        <v>167.97</v>
      </c>
      <c r="F2999" s="16" t="s">
        <v>4092</v>
      </c>
      <c r="G2999" s="38" t="str">
        <f>HYPERLINK("http://enext.ua/s1036031")</f>
        <v>http://enext.ua/s1036031</v>
      </c>
    </row>
    <row r="3000" spans="2:7" ht="11.25" outlineLevel="5" x14ac:dyDescent="0.2">
      <c r="B3000" s="14" t="s">
        <v>5708</v>
      </c>
      <c r="C3000" s="14" t="s">
        <v>5709</v>
      </c>
      <c r="D3000" s="14">
        <v>1</v>
      </c>
      <c r="E3000" s="15">
        <v>167.97</v>
      </c>
      <c r="F3000" s="16" t="s">
        <v>4092</v>
      </c>
      <c r="G3000" s="38" t="str">
        <f>HYPERLINK("http://enext.ua/s1036032")</f>
        <v>http://enext.ua/s1036032</v>
      </c>
    </row>
    <row r="3001" spans="2:7" ht="11.25" outlineLevel="5" x14ac:dyDescent="0.2">
      <c r="B3001" s="14" t="s">
        <v>5710</v>
      </c>
      <c r="C3001" s="14" t="s">
        <v>5711</v>
      </c>
      <c r="D3001" s="14">
        <v>1</v>
      </c>
      <c r="E3001" s="15">
        <v>167.97</v>
      </c>
      <c r="F3001" s="16" t="s">
        <v>4092</v>
      </c>
      <c r="G3001" s="38" t="str">
        <f>HYPERLINK("http://enext.ua/s1036033")</f>
        <v>http://enext.ua/s1036033</v>
      </c>
    </row>
    <row r="3002" spans="2:7" ht="11.25" outlineLevel="5" x14ac:dyDescent="0.2">
      <c r="B3002" s="14" t="s">
        <v>5712</v>
      </c>
      <c r="C3002" s="14" t="s">
        <v>5713</v>
      </c>
      <c r="D3002" s="14">
        <v>1</v>
      </c>
      <c r="E3002" s="15">
        <v>167.97</v>
      </c>
      <c r="F3002" s="16" t="s">
        <v>4092</v>
      </c>
      <c r="G3002" s="38" t="str">
        <f>HYPERLINK("http://enext.ua/s1036034")</f>
        <v>http://enext.ua/s1036034</v>
      </c>
    </row>
    <row r="3003" spans="2:7" ht="11.25" outlineLevel="5" x14ac:dyDescent="0.2">
      <c r="B3003" s="14" t="s">
        <v>5714</v>
      </c>
      <c r="C3003" s="14" t="s">
        <v>5715</v>
      </c>
      <c r="D3003" s="14">
        <v>1</v>
      </c>
      <c r="E3003" s="15">
        <v>167.97</v>
      </c>
      <c r="F3003" s="16" t="s">
        <v>4092</v>
      </c>
      <c r="G3003" s="38" t="str">
        <f>HYPERLINK("http://enext.ua/s1036035")</f>
        <v>http://enext.ua/s1036035</v>
      </c>
    </row>
    <row r="3004" spans="2:7" ht="11.25" outlineLevel="5" x14ac:dyDescent="0.2">
      <c r="B3004" s="14" t="s">
        <v>5716</v>
      </c>
      <c r="C3004" s="14" t="s">
        <v>5717</v>
      </c>
      <c r="D3004" s="14">
        <v>1</v>
      </c>
      <c r="E3004" s="15">
        <v>167.97</v>
      </c>
      <c r="F3004" s="16" t="s">
        <v>4092</v>
      </c>
      <c r="G3004" s="38" t="str">
        <f>HYPERLINK("http://enext.ua/s1036029")</f>
        <v>http://enext.ua/s1036029</v>
      </c>
    </row>
    <row r="3005" spans="2:7" ht="11.25" outlineLevel="5" x14ac:dyDescent="0.2">
      <c r="B3005" s="14" t="s">
        <v>5718</v>
      </c>
      <c r="C3005" s="14" t="s">
        <v>5719</v>
      </c>
      <c r="D3005" s="14">
        <v>1</v>
      </c>
      <c r="E3005" s="15">
        <v>167.97</v>
      </c>
      <c r="F3005" s="16" t="s">
        <v>4092</v>
      </c>
      <c r="G3005" s="38" t="str">
        <f>HYPERLINK("http://enext.ua/s1036030")</f>
        <v>http://enext.ua/s1036030</v>
      </c>
    </row>
    <row r="3006" spans="2:7" ht="11.25" outlineLevel="5" x14ac:dyDescent="0.2">
      <c r="B3006" s="14" t="s">
        <v>5720</v>
      </c>
      <c r="C3006" s="14" t="s">
        <v>5721</v>
      </c>
      <c r="D3006" s="14">
        <v>1</v>
      </c>
      <c r="E3006" s="15">
        <v>149.28</v>
      </c>
      <c r="F3006" s="16" t="s">
        <v>4092</v>
      </c>
      <c r="G3006" s="38" t="str">
        <f>HYPERLINK("http://enext.ua/s1036038")</f>
        <v>http://enext.ua/s1036038</v>
      </c>
    </row>
    <row r="3007" spans="2:7" ht="11.25" outlineLevel="5" x14ac:dyDescent="0.2">
      <c r="B3007" s="14" t="s">
        <v>5722</v>
      </c>
      <c r="C3007" s="14" t="s">
        <v>5723</v>
      </c>
      <c r="D3007" s="14">
        <v>1</v>
      </c>
      <c r="E3007" s="15">
        <v>149.28</v>
      </c>
      <c r="F3007" s="16" t="s">
        <v>4092</v>
      </c>
      <c r="G3007" s="38" t="str">
        <f>HYPERLINK("http://enext.ua/s1036039")</f>
        <v>http://enext.ua/s1036039</v>
      </c>
    </row>
    <row r="3008" spans="2:7" ht="11.25" outlineLevel="5" x14ac:dyDescent="0.2">
      <c r="B3008" s="14" t="s">
        <v>5724</v>
      </c>
      <c r="C3008" s="14" t="s">
        <v>5725</v>
      </c>
      <c r="D3008" s="14">
        <v>1</v>
      </c>
      <c r="E3008" s="15">
        <v>149.28</v>
      </c>
      <c r="F3008" s="16" t="s">
        <v>4092</v>
      </c>
      <c r="G3008" s="38" t="str">
        <f>HYPERLINK("http://enext.ua/s1036040")</f>
        <v>http://enext.ua/s1036040</v>
      </c>
    </row>
    <row r="3009" spans="2:7" ht="11.25" outlineLevel="5" x14ac:dyDescent="0.2">
      <c r="B3009" s="14" t="s">
        <v>5726</v>
      </c>
      <c r="C3009" s="14" t="s">
        <v>5727</v>
      </c>
      <c r="D3009" s="14">
        <v>1</v>
      </c>
      <c r="E3009" s="15">
        <v>149.28</v>
      </c>
      <c r="F3009" s="16" t="s">
        <v>4092</v>
      </c>
      <c r="G3009" s="38" t="str">
        <f>HYPERLINK("http://enext.ua/s1036041")</f>
        <v>http://enext.ua/s1036041</v>
      </c>
    </row>
    <row r="3010" spans="2:7" ht="11.25" outlineLevel="5" x14ac:dyDescent="0.2">
      <c r="B3010" s="14" t="s">
        <v>5728</v>
      </c>
      <c r="C3010" s="14" t="s">
        <v>5729</v>
      </c>
      <c r="D3010" s="14">
        <v>1</v>
      </c>
      <c r="E3010" s="15">
        <v>149.28</v>
      </c>
      <c r="F3010" s="16" t="s">
        <v>4092</v>
      </c>
      <c r="G3010" s="38" t="str">
        <f>HYPERLINK("http://enext.ua/s1036042")</f>
        <v>http://enext.ua/s1036042</v>
      </c>
    </row>
    <row r="3011" spans="2:7" ht="11.25" outlineLevel="5" x14ac:dyDescent="0.2">
      <c r="B3011" s="14" t="s">
        <v>5730</v>
      </c>
      <c r="C3011" s="14" t="s">
        <v>5731</v>
      </c>
      <c r="D3011" s="14">
        <v>1</v>
      </c>
      <c r="E3011" s="15">
        <v>149.28</v>
      </c>
      <c r="F3011" s="16" t="s">
        <v>4092</v>
      </c>
      <c r="G3011" s="38" t="str">
        <f>HYPERLINK("http://enext.ua/s1036036")</f>
        <v>http://enext.ua/s1036036</v>
      </c>
    </row>
    <row r="3012" spans="2:7" ht="11.25" outlineLevel="5" x14ac:dyDescent="0.2">
      <c r="B3012" s="14" t="s">
        <v>5732</v>
      </c>
      <c r="C3012" s="14" t="s">
        <v>5733</v>
      </c>
      <c r="D3012" s="14">
        <v>1</v>
      </c>
      <c r="E3012" s="15">
        <v>149.28</v>
      </c>
      <c r="F3012" s="16" t="s">
        <v>4092</v>
      </c>
      <c r="G3012" s="38" t="str">
        <f>HYPERLINK("http://enext.ua/s1036037")</f>
        <v>http://enext.ua/s1036037</v>
      </c>
    </row>
    <row r="3013" spans="2:7" ht="11.25" outlineLevel="5" x14ac:dyDescent="0.2">
      <c r="B3013" s="14" t="s">
        <v>5734</v>
      </c>
      <c r="C3013" s="14" t="s">
        <v>5735</v>
      </c>
      <c r="D3013" s="14">
        <v>1</v>
      </c>
      <c r="E3013" s="15">
        <v>230.85</v>
      </c>
      <c r="F3013" s="16" t="s">
        <v>4092</v>
      </c>
      <c r="G3013" s="38" t="str">
        <f>HYPERLINK("http://enext.ua/s1036045")</f>
        <v>http://enext.ua/s1036045</v>
      </c>
    </row>
    <row r="3014" spans="2:7" ht="11.25" outlineLevel="5" x14ac:dyDescent="0.2">
      <c r="B3014" s="14" t="s">
        <v>5736</v>
      </c>
      <c r="C3014" s="14" t="s">
        <v>5737</v>
      </c>
      <c r="D3014" s="14">
        <v>1</v>
      </c>
      <c r="E3014" s="15">
        <v>230.85</v>
      </c>
      <c r="F3014" s="16" t="s">
        <v>4092</v>
      </c>
      <c r="G3014" s="38" t="str">
        <f>HYPERLINK("http://enext.ua/s1036046")</f>
        <v>http://enext.ua/s1036046</v>
      </c>
    </row>
    <row r="3015" spans="2:7" ht="11.25" outlineLevel="5" x14ac:dyDescent="0.2">
      <c r="B3015" s="14" t="s">
        <v>5738</v>
      </c>
      <c r="C3015" s="14" t="s">
        <v>5739</v>
      </c>
      <c r="D3015" s="14">
        <v>1</v>
      </c>
      <c r="E3015" s="15">
        <v>230.85</v>
      </c>
      <c r="F3015" s="16" t="s">
        <v>4092</v>
      </c>
      <c r="G3015" s="38" t="str">
        <f>HYPERLINK("http://enext.ua/s1036047")</f>
        <v>http://enext.ua/s1036047</v>
      </c>
    </row>
    <row r="3016" spans="2:7" ht="11.25" outlineLevel="5" x14ac:dyDescent="0.2">
      <c r="B3016" s="14" t="s">
        <v>5740</v>
      </c>
      <c r="C3016" s="14" t="s">
        <v>5741</v>
      </c>
      <c r="D3016" s="14">
        <v>1</v>
      </c>
      <c r="E3016" s="15">
        <v>230.85</v>
      </c>
      <c r="F3016" s="16" t="s">
        <v>4092</v>
      </c>
      <c r="G3016" s="38" t="str">
        <f>HYPERLINK("http://enext.ua/s1036048")</f>
        <v>http://enext.ua/s1036048</v>
      </c>
    </row>
    <row r="3017" spans="2:7" ht="11.25" outlineLevel="5" x14ac:dyDescent="0.2">
      <c r="B3017" s="14" t="s">
        <v>5742</v>
      </c>
      <c r="C3017" s="14" t="s">
        <v>5743</v>
      </c>
      <c r="D3017" s="14">
        <v>1</v>
      </c>
      <c r="E3017" s="15">
        <v>230.85</v>
      </c>
      <c r="F3017" s="16" t="s">
        <v>4092</v>
      </c>
      <c r="G3017" s="38" t="str">
        <f>HYPERLINK("http://enext.ua/s1036049")</f>
        <v>http://enext.ua/s1036049</v>
      </c>
    </row>
    <row r="3018" spans="2:7" ht="11.25" outlineLevel="5" x14ac:dyDescent="0.2">
      <c r="B3018" s="14" t="s">
        <v>5744</v>
      </c>
      <c r="C3018" s="14" t="s">
        <v>5745</v>
      </c>
      <c r="D3018" s="14">
        <v>1</v>
      </c>
      <c r="E3018" s="15">
        <v>230.85</v>
      </c>
      <c r="F3018" s="16" t="s">
        <v>4092</v>
      </c>
      <c r="G3018" s="38" t="str">
        <f>HYPERLINK("http://enext.ua/s1036043")</f>
        <v>http://enext.ua/s1036043</v>
      </c>
    </row>
    <row r="3019" spans="2:7" ht="11.25" outlineLevel="5" x14ac:dyDescent="0.2">
      <c r="B3019" s="14" t="s">
        <v>5746</v>
      </c>
      <c r="C3019" s="14" t="s">
        <v>5747</v>
      </c>
      <c r="D3019" s="14">
        <v>1</v>
      </c>
      <c r="E3019" s="15">
        <v>230.85</v>
      </c>
      <c r="F3019" s="16" t="s">
        <v>4092</v>
      </c>
      <c r="G3019" s="38" t="str">
        <f>HYPERLINK("http://enext.ua/s1036044")</f>
        <v>http://enext.ua/s1036044</v>
      </c>
    </row>
    <row r="3020" spans="2:7" ht="11.25" outlineLevel="5" x14ac:dyDescent="0.2">
      <c r="B3020" s="14" t="s">
        <v>5748</v>
      </c>
      <c r="C3020" s="14" t="s">
        <v>5749</v>
      </c>
      <c r="D3020" s="14">
        <v>1</v>
      </c>
      <c r="E3020" s="15">
        <v>230.85</v>
      </c>
      <c r="F3020" s="16" t="s">
        <v>4092</v>
      </c>
      <c r="G3020" s="38" t="str">
        <f>HYPERLINK("http://enext.ua/s1036052")</f>
        <v>http://enext.ua/s1036052</v>
      </c>
    </row>
    <row r="3021" spans="2:7" ht="11.25" outlineLevel="5" x14ac:dyDescent="0.2">
      <c r="B3021" s="14" t="s">
        <v>5750</v>
      </c>
      <c r="C3021" s="14" t="s">
        <v>5751</v>
      </c>
      <c r="D3021" s="14">
        <v>1</v>
      </c>
      <c r="E3021" s="15">
        <v>230.85</v>
      </c>
      <c r="F3021" s="16" t="s">
        <v>4092</v>
      </c>
      <c r="G3021" s="38" t="str">
        <f>HYPERLINK("http://enext.ua/s1036053")</f>
        <v>http://enext.ua/s1036053</v>
      </c>
    </row>
    <row r="3022" spans="2:7" ht="11.25" outlineLevel="5" x14ac:dyDescent="0.2">
      <c r="B3022" s="14" t="s">
        <v>5752</v>
      </c>
      <c r="C3022" s="14" t="s">
        <v>5753</v>
      </c>
      <c r="D3022" s="14">
        <v>1</v>
      </c>
      <c r="E3022" s="15">
        <v>230.85</v>
      </c>
      <c r="F3022" s="16" t="s">
        <v>4092</v>
      </c>
      <c r="G3022" s="38" t="str">
        <f>HYPERLINK("http://enext.ua/s1036054")</f>
        <v>http://enext.ua/s1036054</v>
      </c>
    </row>
    <row r="3023" spans="2:7" ht="11.25" outlineLevel="5" x14ac:dyDescent="0.2">
      <c r="B3023" s="14" t="s">
        <v>5754</v>
      </c>
      <c r="C3023" s="14" t="s">
        <v>5755</v>
      </c>
      <c r="D3023" s="14">
        <v>1</v>
      </c>
      <c r="E3023" s="15">
        <v>230.85</v>
      </c>
      <c r="F3023" s="16" t="s">
        <v>4092</v>
      </c>
      <c r="G3023" s="38" t="str">
        <f>HYPERLINK("http://enext.ua/s1036055")</f>
        <v>http://enext.ua/s1036055</v>
      </c>
    </row>
    <row r="3024" spans="2:7" ht="11.25" outlineLevel="5" x14ac:dyDescent="0.2">
      <c r="B3024" s="14" t="s">
        <v>5756</v>
      </c>
      <c r="C3024" s="14" t="s">
        <v>5757</v>
      </c>
      <c r="D3024" s="14">
        <v>1</v>
      </c>
      <c r="E3024" s="15">
        <v>230.85</v>
      </c>
      <c r="F3024" s="16" t="s">
        <v>4092</v>
      </c>
      <c r="G3024" s="38" t="str">
        <f>HYPERLINK("http://enext.ua/s1036056")</f>
        <v>http://enext.ua/s1036056</v>
      </c>
    </row>
    <row r="3025" spans="2:7" ht="11.25" outlineLevel="5" x14ac:dyDescent="0.2">
      <c r="B3025" s="14" t="s">
        <v>5758</v>
      </c>
      <c r="C3025" s="14" t="s">
        <v>5759</v>
      </c>
      <c r="D3025" s="14">
        <v>1</v>
      </c>
      <c r="E3025" s="15">
        <v>230.85</v>
      </c>
      <c r="F3025" s="16" t="s">
        <v>4092</v>
      </c>
      <c r="G3025" s="38" t="str">
        <f>HYPERLINK("http://enext.ua/s1036050")</f>
        <v>http://enext.ua/s1036050</v>
      </c>
    </row>
    <row r="3026" spans="2:7" ht="11.25" outlineLevel="5" x14ac:dyDescent="0.2">
      <c r="B3026" s="14" t="s">
        <v>5760</v>
      </c>
      <c r="C3026" s="14" t="s">
        <v>5761</v>
      </c>
      <c r="D3026" s="14">
        <v>1</v>
      </c>
      <c r="E3026" s="15">
        <v>230.85</v>
      </c>
      <c r="F3026" s="16" t="s">
        <v>4092</v>
      </c>
      <c r="G3026" s="38" t="str">
        <f>HYPERLINK("http://enext.ua/s1036051")</f>
        <v>http://enext.ua/s1036051</v>
      </c>
    </row>
    <row r="3027" spans="2:7" ht="11.25" outlineLevel="5" x14ac:dyDescent="0.2">
      <c r="B3027" s="14" t="s">
        <v>5762</v>
      </c>
      <c r="C3027" s="14" t="s">
        <v>5763</v>
      </c>
      <c r="D3027" s="14">
        <v>1</v>
      </c>
      <c r="E3027" s="15">
        <v>225.19</v>
      </c>
      <c r="F3027" s="16" t="s">
        <v>4092</v>
      </c>
      <c r="G3027" s="38" t="str">
        <f>HYPERLINK("http://enext.ua/s036004")</f>
        <v>http://enext.ua/s036004</v>
      </c>
    </row>
    <row r="3028" spans="2:7" ht="11.25" outlineLevel="5" x14ac:dyDescent="0.2">
      <c r="B3028" s="14" t="s">
        <v>5764</v>
      </c>
      <c r="C3028" s="14" t="s">
        <v>5765</v>
      </c>
      <c r="D3028" s="14">
        <v>1</v>
      </c>
      <c r="E3028" s="15">
        <v>86.4</v>
      </c>
      <c r="F3028" s="16" t="s">
        <v>4092</v>
      </c>
      <c r="G3028" s="38" t="str">
        <f>HYPERLINK("http://enext.ua/s1036062")</f>
        <v>http://enext.ua/s1036062</v>
      </c>
    </row>
    <row r="3029" spans="2:7" ht="11.25" outlineLevel="5" x14ac:dyDescent="0.2">
      <c r="B3029" s="14" t="s">
        <v>5766</v>
      </c>
      <c r="C3029" s="14" t="s">
        <v>5767</v>
      </c>
      <c r="D3029" s="14">
        <v>1</v>
      </c>
      <c r="E3029" s="15">
        <v>117.55</v>
      </c>
      <c r="F3029" s="16" t="s">
        <v>4092</v>
      </c>
      <c r="G3029" s="38" t="str">
        <f>HYPERLINK("http://enext.ua/s1036057")</f>
        <v>http://enext.ua/s1036057</v>
      </c>
    </row>
    <row r="3030" spans="2:7" ht="11.25" outlineLevel="5" x14ac:dyDescent="0.2">
      <c r="B3030" s="14" t="s">
        <v>5768</v>
      </c>
      <c r="C3030" s="14" t="s">
        <v>5769</v>
      </c>
      <c r="D3030" s="14">
        <v>1</v>
      </c>
      <c r="E3030" s="15">
        <v>139.65</v>
      </c>
      <c r="F3030" s="16" t="s">
        <v>4092</v>
      </c>
      <c r="G3030" s="38" t="str">
        <f>HYPERLINK("http://enext.ua/s1036058")</f>
        <v>http://enext.ua/s1036058</v>
      </c>
    </row>
    <row r="3031" spans="2:7" ht="12" outlineLevel="4" x14ac:dyDescent="0.2">
      <c r="B3031" s="12"/>
      <c r="C3031" s="37" t="s">
        <v>5770</v>
      </c>
      <c r="D3031" s="12"/>
      <c r="E3031" s="13"/>
      <c r="F3031" s="13"/>
      <c r="G3031" s="12"/>
    </row>
    <row r="3032" spans="2:7" ht="22.5" outlineLevel="5" x14ac:dyDescent="0.2">
      <c r="B3032" s="14" t="s">
        <v>5771</v>
      </c>
      <c r="C3032" s="14" t="s">
        <v>5772</v>
      </c>
      <c r="D3032" s="14">
        <v>1</v>
      </c>
      <c r="E3032" s="15">
        <v>63.74</v>
      </c>
      <c r="F3032" s="16" t="s">
        <v>4092</v>
      </c>
      <c r="G3032" s="38" t="str">
        <f>HYPERLINK("http://enext.ua/s2036003")</f>
        <v>http://enext.ua/s2036003</v>
      </c>
    </row>
    <row r="3033" spans="2:7" ht="11.25" outlineLevel="5" x14ac:dyDescent="0.2">
      <c r="B3033" s="14" t="s">
        <v>5773</v>
      </c>
      <c r="C3033" s="14" t="s">
        <v>5774</v>
      </c>
      <c r="D3033" s="14">
        <v>1</v>
      </c>
      <c r="E3033" s="15">
        <v>63.74</v>
      </c>
      <c r="F3033" s="16" t="s">
        <v>4092</v>
      </c>
      <c r="G3033" s="38" t="str">
        <f>HYPERLINK("http://enext.ua/s2036004")</f>
        <v>http://enext.ua/s2036004</v>
      </c>
    </row>
    <row r="3034" spans="2:7" ht="22.5" outlineLevel="5" x14ac:dyDescent="0.2">
      <c r="B3034" s="14" t="s">
        <v>5775</v>
      </c>
      <c r="C3034" s="14" t="s">
        <v>5776</v>
      </c>
      <c r="D3034" s="14">
        <v>1</v>
      </c>
      <c r="E3034" s="15">
        <v>63.74</v>
      </c>
      <c r="F3034" s="16" t="s">
        <v>4092</v>
      </c>
      <c r="G3034" s="38" t="str">
        <f>HYPERLINK("http://enext.ua/s2036005")</f>
        <v>http://enext.ua/s2036005</v>
      </c>
    </row>
    <row r="3035" spans="2:7" ht="22.5" outlineLevel="5" x14ac:dyDescent="0.2">
      <c r="B3035" s="14" t="s">
        <v>5777</v>
      </c>
      <c r="C3035" s="14" t="s">
        <v>5778</v>
      </c>
      <c r="D3035" s="14">
        <v>1</v>
      </c>
      <c r="E3035" s="15">
        <v>63.74</v>
      </c>
      <c r="F3035" s="16" t="s">
        <v>4092</v>
      </c>
      <c r="G3035" s="38" t="str">
        <f>HYPERLINK("http://enext.ua/s2036006")</f>
        <v>http://enext.ua/s2036006</v>
      </c>
    </row>
    <row r="3036" spans="2:7" ht="22.5" outlineLevel="5" x14ac:dyDescent="0.2">
      <c r="B3036" s="14" t="s">
        <v>5779</v>
      </c>
      <c r="C3036" s="14" t="s">
        <v>5780</v>
      </c>
      <c r="D3036" s="14">
        <v>1</v>
      </c>
      <c r="E3036" s="15">
        <v>63.74</v>
      </c>
      <c r="F3036" s="16" t="s">
        <v>4092</v>
      </c>
      <c r="G3036" s="38" t="str">
        <f>HYPERLINK("http://enext.ua/s2036007")</f>
        <v>http://enext.ua/s2036007</v>
      </c>
    </row>
    <row r="3037" spans="2:7" ht="22.5" outlineLevel="5" x14ac:dyDescent="0.2">
      <c r="B3037" s="14" t="s">
        <v>5781</v>
      </c>
      <c r="C3037" s="14" t="s">
        <v>5782</v>
      </c>
      <c r="D3037" s="14">
        <v>1</v>
      </c>
      <c r="E3037" s="15">
        <v>63.74</v>
      </c>
      <c r="F3037" s="16" t="s">
        <v>4092</v>
      </c>
      <c r="G3037" s="38" t="str">
        <f>HYPERLINK("http://enext.ua/s2036001")</f>
        <v>http://enext.ua/s2036001</v>
      </c>
    </row>
    <row r="3038" spans="2:7" ht="22.5" outlineLevel="5" x14ac:dyDescent="0.2">
      <c r="B3038" s="14" t="s">
        <v>5783</v>
      </c>
      <c r="C3038" s="14" t="s">
        <v>5784</v>
      </c>
      <c r="D3038" s="14">
        <v>1</v>
      </c>
      <c r="E3038" s="15">
        <v>63.74</v>
      </c>
      <c r="F3038" s="16" t="s">
        <v>4092</v>
      </c>
      <c r="G3038" s="38" t="str">
        <f>HYPERLINK("http://enext.ua/s2036002")</f>
        <v>http://enext.ua/s2036002</v>
      </c>
    </row>
    <row r="3039" spans="2:7" ht="22.5" outlineLevel="5" x14ac:dyDescent="0.2">
      <c r="B3039" s="14" t="s">
        <v>5785</v>
      </c>
      <c r="C3039" s="14" t="s">
        <v>5786</v>
      </c>
      <c r="D3039" s="14">
        <v>1</v>
      </c>
      <c r="E3039" s="15">
        <v>71.38</v>
      </c>
      <c r="F3039" s="16" t="s">
        <v>4092</v>
      </c>
      <c r="G3039" s="38" t="str">
        <f>HYPERLINK("http://enext.ua/s2036010")</f>
        <v>http://enext.ua/s2036010</v>
      </c>
    </row>
    <row r="3040" spans="2:7" ht="11.25" outlineLevel="5" x14ac:dyDescent="0.2">
      <c r="B3040" s="14" t="s">
        <v>5787</v>
      </c>
      <c r="C3040" s="14" t="s">
        <v>5788</v>
      </c>
      <c r="D3040" s="14">
        <v>1</v>
      </c>
      <c r="E3040" s="15">
        <v>71.38</v>
      </c>
      <c r="F3040" s="16" t="s">
        <v>4092</v>
      </c>
      <c r="G3040" s="38" t="str">
        <f>HYPERLINK("http://enext.ua/s2036011")</f>
        <v>http://enext.ua/s2036011</v>
      </c>
    </row>
    <row r="3041" spans="2:7" ht="22.5" outlineLevel="5" x14ac:dyDescent="0.2">
      <c r="B3041" s="14" t="s">
        <v>5789</v>
      </c>
      <c r="C3041" s="14" t="s">
        <v>5790</v>
      </c>
      <c r="D3041" s="14">
        <v>1</v>
      </c>
      <c r="E3041" s="15">
        <v>71.38</v>
      </c>
      <c r="F3041" s="16" t="s">
        <v>4092</v>
      </c>
      <c r="G3041" s="38" t="str">
        <f>HYPERLINK("http://enext.ua/s2036012")</f>
        <v>http://enext.ua/s2036012</v>
      </c>
    </row>
    <row r="3042" spans="2:7" ht="11.25" outlineLevel="5" x14ac:dyDescent="0.2">
      <c r="B3042" s="14" t="s">
        <v>5791</v>
      </c>
      <c r="C3042" s="14" t="s">
        <v>5792</v>
      </c>
      <c r="D3042" s="14">
        <v>1</v>
      </c>
      <c r="E3042" s="15">
        <v>71.38</v>
      </c>
      <c r="F3042" s="16" t="s">
        <v>4092</v>
      </c>
      <c r="G3042" s="38" t="str">
        <f>HYPERLINK("http://enext.ua/s2036013")</f>
        <v>http://enext.ua/s2036013</v>
      </c>
    </row>
    <row r="3043" spans="2:7" ht="22.5" outlineLevel="5" x14ac:dyDescent="0.2">
      <c r="B3043" s="14" t="s">
        <v>5793</v>
      </c>
      <c r="C3043" s="14" t="s">
        <v>5794</v>
      </c>
      <c r="D3043" s="14">
        <v>1</v>
      </c>
      <c r="E3043" s="15">
        <v>71.38</v>
      </c>
      <c r="F3043" s="16" t="s">
        <v>4092</v>
      </c>
      <c r="G3043" s="38" t="str">
        <f>HYPERLINK("http://enext.ua/s2036014")</f>
        <v>http://enext.ua/s2036014</v>
      </c>
    </row>
    <row r="3044" spans="2:7" ht="22.5" outlineLevel="5" x14ac:dyDescent="0.2">
      <c r="B3044" s="14" t="s">
        <v>5795</v>
      </c>
      <c r="C3044" s="14" t="s">
        <v>5796</v>
      </c>
      <c r="D3044" s="14">
        <v>1</v>
      </c>
      <c r="E3044" s="15">
        <v>71.38</v>
      </c>
      <c r="F3044" s="16" t="s">
        <v>4092</v>
      </c>
      <c r="G3044" s="38" t="str">
        <f>HYPERLINK("http://enext.ua/s2036008")</f>
        <v>http://enext.ua/s2036008</v>
      </c>
    </row>
    <row r="3045" spans="2:7" ht="22.5" outlineLevel="5" x14ac:dyDescent="0.2">
      <c r="B3045" s="14" t="s">
        <v>5797</v>
      </c>
      <c r="C3045" s="14" t="s">
        <v>5798</v>
      </c>
      <c r="D3045" s="14">
        <v>1</v>
      </c>
      <c r="E3045" s="15">
        <v>71.38</v>
      </c>
      <c r="F3045" s="16" t="s">
        <v>4092</v>
      </c>
      <c r="G3045" s="38" t="str">
        <f>HYPERLINK("http://enext.ua/s2036009")</f>
        <v>http://enext.ua/s2036009</v>
      </c>
    </row>
    <row r="3046" spans="2:7" ht="11.25" outlineLevel="5" x14ac:dyDescent="0.2">
      <c r="B3046" s="14" t="s">
        <v>5799</v>
      </c>
      <c r="C3046" s="14" t="s">
        <v>5800</v>
      </c>
      <c r="D3046" s="14">
        <v>1</v>
      </c>
      <c r="E3046" s="15">
        <v>90.64</v>
      </c>
      <c r="F3046" s="16" t="s">
        <v>4092</v>
      </c>
      <c r="G3046" s="38" t="str">
        <f>HYPERLINK("http://enext.ua/s2036017")</f>
        <v>http://enext.ua/s2036017</v>
      </c>
    </row>
    <row r="3047" spans="2:7" ht="11.25" outlineLevel="5" x14ac:dyDescent="0.2">
      <c r="B3047" s="14" t="s">
        <v>5801</v>
      </c>
      <c r="C3047" s="14" t="s">
        <v>5802</v>
      </c>
      <c r="D3047" s="14">
        <v>1</v>
      </c>
      <c r="E3047" s="15">
        <v>98.86</v>
      </c>
      <c r="F3047" s="16" t="s">
        <v>4092</v>
      </c>
      <c r="G3047" s="38" t="str">
        <f>HYPERLINK("http://enext.ua/s2036018")</f>
        <v>http://enext.ua/s2036018</v>
      </c>
    </row>
    <row r="3048" spans="2:7" ht="22.5" outlineLevel="5" x14ac:dyDescent="0.2">
      <c r="B3048" s="14" t="s">
        <v>5803</v>
      </c>
      <c r="C3048" s="14" t="s">
        <v>5804</v>
      </c>
      <c r="D3048" s="14">
        <v>1</v>
      </c>
      <c r="E3048" s="15">
        <v>98.86</v>
      </c>
      <c r="F3048" s="16" t="s">
        <v>4092</v>
      </c>
      <c r="G3048" s="38" t="str">
        <f>HYPERLINK("http://enext.ua/s2036019")</f>
        <v>http://enext.ua/s2036019</v>
      </c>
    </row>
    <row r="3049" spans="2:7" ht="11.25" outlineLevel="5" x14ac:dyDescent="0.2">
      <c r="B3049" s="14" t="s">
        <v>5805</v>
      </c>
      <c r="C3049" s="14" t="s">
        <v>5806</v>
      </c>
      <c r="D3049" s="14">
        <v>1</v>
      </c>
      <c r="E3049" s="15">
        <v>98.86</v>
      </c>
      <c r="F3049" s="16" t="s">
        <v>4092</v>
      </c>
      <c r="G3049" s="38" t="str">
        <f>HYPERLINK("http://enext.ua/s2036020")</f>
        <v>http://enext.ua/s2036020</v>
      </c>
    </row>
    <row r="3050" spans="2:7" ht="22.5" outlineLevel="5" x14ac:dyDescent="0.2">
      <c r="B3050" s="14" t="s">
        <v>5807</v>
      </c>
      <c r="C3050" s="14" t="s">
        <v>5808</v>
      </c>
      <c r="D3050" s="14">
        <v>1</v>
      </c>
      <c r="E3050" s="15">
        <v>98.86</v>
      </c>
      <c r="F3050" s="16" t="s">
        <v>4092</v>
      </c>
      <c r="G3050" s="38" t="str">
        <f>HYPERLINK("http://enext.ua/s2036021")</f>
        <v>http://enext.ua/s2036021</v>
      </c>
    </row>
    <row r="3051" spans="2:7" ht="22.5" outlineLevel="5" x14ac:dyDescent="0.2">
      <c r="B3051" s="14" t="s">
        <v>5809</v>
      </c>
      <c r="C3051" s="14" t="s">
        <v>5810</v>
      </c>
      <c r="D3051" s="14">
        <v>1</v>
      </c>
      <c r="E3051" s="15">
        <v>98.86</v>
      </c>
      <c r="F3051" s="16" t="s">
        <v>4092</v>
      </c>
      <c r="G3051" s="38" t="str">
        <f>HYPERLINK("http://enext.ua/s2036015")</f>
        <v>http://enext.ua/s2036015</v>
      </c>
    </row>
    <row r="3052" spans="2:7" ht="22.5" outlineLevel="5" x14ac:dyDescent="0.2">
      <c r="B3052" s="14" t="s">
        <v>5811</v>
      </c>
      <c r="C3052" s="14" t="s">
        <v>5812</v>
      </c>
      <c r="D3052" s="14">
        <v>1</v>
      </c>
      <c r="E3052" s="15">
        <v>98.86</v>
      </c>
      <c r="F3052" s="16" t="s">
        <v>4092</v>
      </c>
      <c r="G3052" s="38" t="str">
        <f>HYPERLINK("http://enext.ua/s2036016")</f>
        <v>http://enext.ua/s2036016</v>
      </c>
    </row>
    <row r="3053" spans="2:7" ht="11.25" outlineLevel="5" x14ac:dyDescent="0.2">
      <c r="B3053" s="14" t="s">
        <v>5813</v>
      </c>
      <c r="C3053" s="14" t="s">
        <v>5814</v>
      </c>
      <c r="D3053" s="14">
        <v>1</v>
      </c>
      <c r="E3053" s="15">
        <v>90.64</v>
      </c>
      <c r="F3053" s="16" t="s">
        <v>4092</v>
      </c>
      <c r="G3053" s="38" t="str">
        <f>HYPERLINK("http://enext.ua/s2036024")</f>
        <v>http://enext.ua/s2036024</v>
      </c>
    </row>
    <row r="3054" spans="2:7" ht="11.25" outlineLevel="5" x14ac:dyDescent="0.2">
      <c r="B3054" s="14" t="s">
        <v>5815</v>
      </c>
      <c r="C3054" s="14" t="s">
        <v>5816</v>
      </c>
      <c r="D3054" s="14">
        <v>1</v>
      </c>
      <c r="E3054" s="15">
        <v>90.64</v>
      </c>
      <c r="F3054" s="16" t="s">
        <v>4092</v>
      </c>
      <c r="G3054" s="38" t="str">
        <f>HYPERLINK("http://enext.ua/s2036025")</f>
        <v>http://enext.ua/s2036025</v>
      </c>
    </row>
    <row r="3055" spans="2:7" ht="11.25" outlineLevel="5" x14ac:dyDescent="0.2">
      <c r="B3055" s="14" t="s">
        <v>5817</v>
      </c>
      <c r="C3055" s="14" t="s">
        <v>5818</v>
      </c>
      <c r="D3055" s="14">
        <v>1</v>
      </c>
      <c r="E3055" s="15">
        <v>90.64</v>
      </c>
      <c r="F3055" s="16" t="s">
        <v>4092</v>
      </c>
      <c r="G3055" s="38" t="str">
        <f>HYPERLINK("http://enext.ua/s2036026")</f>
        <v>http://enext.ua/s2036026</v>
      </c>
    </row>
    <row r="3056" spans="2:7" ht="11.25" outlineLevel="5" x14ac:dyDescent="0.2">
      <c r="B3056" s="14" t="s">
        <v>5819</v>
      </c>
      <c r="C3056" s="14" t="s">
        <v>5820</v>
      </c>
      <c r="D3056" s="14">
        <v>1</v>
      </c>
      <c r="E3056" s="15">
        <v>90.64</v>
      </c>
      <c r="F3056" s="16" t="s">
        <v>4092</v>
      </c>
      <c r="G3056" s="38" t="str">
        <f>HYPERLINK("http://enext.ua/s2036027")</f>
        <v>http://enext.ua/s2036027</v>
      </c>
    </row>
    <row r="3057" spans="2:7" ht="22.5" outlineLevel="5" x14ac:dyDescent="0.2">
      <c r="B3057" s="14" t="s">
        <v>5821</v>
      </c>
      <c r="C3057" s="14" t="s">
        <v>5822</v>
      </c>
      <c r="D3057" s="14">
        <v>1</v>
      </c>
      <c r="E3057" s="15">
        <v>90.64</v>
      </c>
      <c r="F3057" s="16" t="s">
        <v>4092</v>
      </c>
      <c r="G3057" s="38" t="str">
        <f>HYPERLINK("http://enext.ua/s2036028")</f>
        <v>http://enext.ua/s2036028</v>
      </c>
    </row>
    <row r="3058" spans="2:7" ht="11.25" outlineLevel="5" x14ac:dyDescent="0.2">
      <c r="B3058" s="14" t="s">
        <v>5823</v>
      </c>
      <c r="C3058" s="14" t="s">
        <v>5824</v>
      </c>
      <c r="D3058" s="14">
        <v>1</v>
      </c>
      <c r="E3058" s="15">
        <v>90.64</v>
      </c>
      <c r="F3058" s="16" t="s">
        <v>4092</v>
      </c>
      <c r="G3058" s="38" t="str">
        <f>HYPERLINK("http://enext.ua/s2036022")</f>
        <v>http://enext.ua/s2036022</v>
      </c>
    </row>
    <row r="3059" spans="2:7" ht="11.25" outlineLevel="5" x14ac:dyDescent="0.2">
      <c r="B3059" s="14" t="s">
        <v>5825</v>
      </c>
      <c r="C3059" s="14" t="s">
        <v>5826</v>
      </c>
      <c r="D3059" s="14">
        <v>1</v>
      </c>
      <c r="E3059" s="15">
        <v>90.64</v>
      </c>
      <c r="F3059" s="16" t="s">
        <v>4092</v>
      </c>
      <c r="G3059" s="38" t="str">
        <f>HYPERLINK("http://enext.ua/s2036023")</f>
        <v>http://enext.ua/s2036023</v>
      </c>
    </row>
    <row r="3060" spans="2:7" ht="11.25" outlineLevel="5" x14ac:dyDescent="0.2">
      <c r="B3060" s="14" t="s">
        <v>5827</v>
      </c>
      <c r="C3060" s="14" t="s">
        <v>5828</v>
      </c>
      <c r="D3060" s="14">
        <v>1</v>
      </c>
      <c r="E3060" s="15">
        <v>148.71</v>
      </c>
      <c r="F3060" s="16" t="s">
        <v>4092</v>
      </c>
      <c r="G3060" s="38" t="str">
        <f>HYPERLINK("http://enext.ua/s2036031")</f>
        <v>http://enext.ua/s2036031</v>
      </c>
    </row>
    <row r="3061" spans="2:7" ht="11.25" outlineLevel="5" x14ac:dyDescent="0.2">
      <c r="B3061" s="14" t="s">
        <v>5829</v>
      </c>
      <c r="C3061" s="14" t="s">
        <v>5830</v>
      </c>
      <c r="D3061" s="14">
        <v>1</v>
      </c>
      <c r="E3061" s="15">
        <v>148.71</v>
      </c>
      <c r="F3061" s="16" t="s">
        <v>4092</v>
      </c>
      <c r="G3061" s="38" t="str">
        <f>HYPERLINK("http://enext.ua/s2036032")</f>
        <v>http://enext.ua/s2036032</v>
      </c>
    </row>
    <row r="3062" spans="2:7" ht="11.25" outlineLevel="5" x14ac:dyDescent="0.2">
      <c r="B3062" s="14" t="s">
        <v>5831</v>
      </c>
      <c r="C3062" s="14" t="s">
        <v>5832</v>
      </c>
      <c r="D3062" s="14">
        <v>1</v>
      </c>
      <c r="E3062" s="15">
        <v>148.71</v>
      </c>
      <c r="F3062" s="16" t="s">
        <v>4092</v>
      </c>
      <c r="G3062" s="38" t="str">
        <f>HYPERLINK("http://enext.ua/s2036033")</f>
        <v>http://enext.ua/s2036033</v>
      </c>
    </row>
    <row r="3063" spans="2:7" ht="11.25" outlineLevel="5" x14ac:dyDescent="0.2">
      <c r="B3063" s="14" t="s">
        <v>5833</v>
      </c>
      <c r="C3063" s="14" t="s">
        <v>5834</v>
      </c>
      <c r="D3063" s="14">
        <v>1</v>
      </c>
      <c r="E3063" s="15">
        <v>148.71</v>
      </c>
      <c r="F3063" s="16" t="s">
        <v>4092</v>
      </c>
      <c r="G3063" s="38" t="str">
        <f>HYPERLINK("http://enext.ua/s2036034")</f>
        <v>http://enext.ua/s2036034</v>
      </c>
    </row>
    <row r="3064" spans="2:7" ht="22.5" outlineLevel="5" x14ac:dyDescent="0.2">
      <c r="B3064" s="14" t="s">
        <v>5835</v>
      </c>
      <c r="C3064" s="14" t="s">
        <v>5836</v>
      </c>
      <c r="D3064" s="14">
        <v>1</v>
      </c>
      <c r="E3064" s="15">
        <v>148.71</v>
      </c>
      <c r="F3064" s="16" t="s">
        <v>4092</v>
      </c>
      <c r="G3064" s="38" t="str">
        <f>HYPERLINK("http://enext.ua/s2036035")</f>
        <v>http://enext.ua/s2036035</v>
      </c>
    </row>
    <row r="3065" spans="2:7" ht="11.25" outlineLevel="5" x14ac:dyDescent="0.2">
      <c r="B3065" s="14" t="s">
        <v>5837</v>
      </c>
      <c r="C3065" s="14" t="s">
        <v>5838</v>
      </c>
      <c r="D3065" s="14">
        <v>1</v>
      </c>
      <c r="E3065" s="15">
        <v>148.71</v>
      </c>
      <c r="F3065" s="16" t="s">
        <v>4092</v>
      </c>
      <c r="G3065" s="38" t="str">
        <f>HYPERLINK("http://enext.ua/s2036029")</f>
        <v>http://enext.ua/s2036029</v>
      </c>
    </row>
    <row r="3066" spans="2:7" ht="11.25" outlineLevel="5" x14ac:dyDescent="0.2">
      <c r="B3066" s="14" t="s">
        <v>5839</v>
      </c>
      <c r="C3066" s="14" t="s">
        <v>5840</v>
      </c>
      <c r="D3066" s="14">
        <v>1</v>
      </c>
      <c r="E3066" s="15">
        <v>148.71</v>
      </c>
      <c r="F3066" s="16" t="s">
        <v>4092</v>
      </c>
      <c r="G3066" s="38" t="str">
        <f>HYPERLINK("http://enext.ua/s2036030")</f>
        <v>http://enext.ua/s2036030</v>
      </c>
    </row>
    <row r="3067" spans="2:7" ht="11.25" outlineLevel="5" x14ac:dyDescent="0.2">
      <c r="B3067" s="14" t="s">
        <v>5841</v>
      </c>
      <c r="C3067" s="14" t="s">
        <v>5842</v>
      </c>
      <c r="D3067" s="14">
        <v>1</v>
      </c>
      <c r="E3067" s="15">
        <v>164.29</v>
      </c>
      <c r="F3067" s="16" t="s">
        <v>4092</v>
      </c>
      <c r="G3067" s="38" t="str">
        <f>HYPERLINK("http://enext.ua/s2036045")</f>
        <v>http://enext.ua/s2036045</v>
      </c>
    </row>
    <row r="3068" spans="2:7" ht="11.25" outlineLevel="5" x14ac:dyDescent="0.2">
      <c r="B3068" s="14" t="s">
        <v>5843</v>
      </c>
      <c r="C3068" s="14" t="s">
        <v>5844</v>
      </c>
      <c r="D3068" s="14">
        <v>1</v>
      </c>
      <c r="E3068" s="15">
        <v>164.29</v>
      </c>
      <c r="F3068" s="16" t="s">
        <v>4092</v>
      </c>
      <c r="G3068" s="38" t="str">
        <f>HYPERLINK("http://enext.ua/s2036046")</f>
        <v>http://enext.ua/s2036046</v>
      </c>
    </row>
    <row r="3069" spans="2:7" ht="11.25" outlineLevel="5" x14ac:dyDescent="0.2">
      <c r="B3069" s="14" t="s">
        <v>5845</v>
      </c>
      <c r="C3069" s="14" t="s">
        <v>5846</v>
      </c>
      <c r="D3069" s="14">
        <v>1</v>
      </c>
      <c r="E3069" s="15">
        <v>164.29</v>
      </c>
      <c r="F3069" s="16" t="s">
        <v>4092</v>
      </c>
      <c r="G3069" s="38" t="str">
        <f>HYPERLINK("http://enext.ua/s2036047")</f>
        <v>http://enext.ua/s2036047</v>
      </c>
    </row>
    <row r="3070" spans="2:7" ht="11.25" outlineLevel="5" x14ac:dyDescent="0.2">
      <c r="B3070" s="14" t="s">
        <v>5847</v>
      </c>
      <c r="C3070" s="14" t="s">
        <v>5848</v>
      </c>
      <c r="D3070" s="14">
        <v>1</v>
      </c>
      <c r="E3070" s="15">
        <v>164.29</v>
      </c>
      <c r="F3070" s="16" t="s">
        <v>4092</v>
      </c>
      <c r="G3070" s="38" t="str">
        <f>HYPERLINK("http://enext.ua/s2036048")</f>
        <v>http://enext.ua/s2036048</v>
      </c>
    </row>
    <row r="3071" spans="2:7" ht="22.5" outlineLevel="5" x14ac:dyDescent="0.2">
      <c r="B3071" s="14" t="s">
        <v>5849</v>
      </c>
      <c r="C3071" s="14" t="s">
        <v>5850</v>
      </c>
      <c r="D3071" s="14">
        <v>1</v>
      </c>
      <c r="E3071" s="15">
        <v>164.29</v>
      </c>
      <c r="F3071" s="16" t="s">
        <v>4092</v>
      </c>
      <c r="G3071" s="38" t="str">
        <f>HYPERLINK("http://enext.ua/s2036049")</f>
        <v>http://enext.ua/s2036049</v>
      </c>
    </row>
    <row r="3072" spans="2:7" ht="11.25" outlineLevel="5" x14ac:dyDescent="0.2">
      <c r="B3072" s="14" t="s">
        <v>5851</v>
      </c>
      <c r="C3072" s="14" t="s">
        <v>5852</v>
      </c>
      <c r="D3072" s="14">
        <v>1</v>
      </c>
      <c r="E3072" s="15">
        <v>164.29</v>
      </c>
      <c r="F3072" s="16" t="s">
        <v>4092</v>
      </c>
      <c r="G3072" s="38" t="str">
        <f>HYPERLINK("http://enext.ua/s2036043")</f>
        <v>http://enext.ua/s2036043</v>
      </c>
    </row>
    <row r="3073" spans="2:7" ht="11.25" outlineLevel="5" x14ac:dyDescent="0.2">
      <c r="B3073" s="14" t="s">
        <v>5853</v>
      </c>
      <c r="C3073" s="14" t="s">
        <v>5854</v>
      </c>
      <c r="D3073" s="14">
        <v>1</v>
      </c>
      <c r="E3073" s="15">
        <v>164.29</v>
      </c>
      <c r="F3073" s="16" t="s">
        <v>4092</v>
      </c>
      <c r="G3073" s="38" t="str">
        <f>HYPERLINK("http://enext.ua/s2036044")</f>
        <v>http://enext.ua/s2036044</v>
      </c>
    </row>
    <row r="3074" spans="2:7" ht="11.25" outlineLevel="5" x14ac:dyDescent="0.2">
      <c r="B3074" s="14" t="s">
        <v>5855</v>
      </c>
      <c r="C3074" s="14" t="s">
        <v>5856</v>
      </c>
      <c r="D3074" s="14">
        <v>1</v>
      </c>
      <c r="E3074" s="15">
        <v>262.01</v>
      </c>
      <c r="F3074" s="16" t="s">
        <v>4092</v>
      </c>
      <c r="G3074" s="38" t="str">
        <f>HYPERLINK("http://enext.ua/s2036052")</f>
        <v>http://enext.ua/s2036052</v>
      </c>
    </row>
    <row r="3075" spans="2:7" ht="11.25" outlineLevel="5" x14ac:dyDescent="0.2">
      <c r="B3075" s="14" t="s">
        <v>5857</v>
      </c>
      <c r="C3075" s="14" t="s">
        <v>5858</v>
      </c>
      <c r="D3075" s="14">
        <v>1</v>
      </c>
      <c r="E3075" s="15">
        <v>262.01</v>
      </c>
      <c r="F3075" s="16" t="s">
        <v>4092</v>
      </c>
      <c r="G3075" s="38" t="str">
        <f>HYPERLINK("http://enext.ua/s2036053")</f>
        <v>http://enext.ua/s2036053</v>
      </c>
    </row>
    <row r="3076" spans="2:7" ht="11.25" outlineLevel="5" x14ac:dyDescent="0.2">
      <c r="B3076" s="14" t="s">
        <v>5859</v>
      </c>
      <c r="C3076" s="14" t="s">
        <v>5860</v>
      </c>
      <c r="D3076" s="14">
        <v>1</v>
      </c>
      <c r="E3076" s="15">
        <v>262.01</v>
      </c>
      <c r="F3076" s="16" t="s">
        <v>4092</v>
      </c>
      <c r="G3076" s="38" t="str">
        <f>HYPERLINK("http://enext.ua/s2036054")</f>
        <v>http://enext.ua/s2036054</v>
      </c>
    </row>
    <row r="3077" spans="2:7" ht="11.25" outlineLevel="5" x14ac:dyDescent="0.2">
      <c r="B3077" s="14" t="s">
        <v>5861</v>
      </c>
      <c r="C3077" s="14" t="s">
        <v>5862</v>
      </c>
      <c r="D3077" s="14">
        <v>1</v>
      </c>
      <c r="E3077" s="15">
        <v>262.01</v>
      </c>
      <c r="F3077" s="16" t="s">
        <v>4092</v>
      </c>
      <c r="G3077" s="38" t="str">
        <f>HYPERLINK("http://enext.ua/s2036055")</f>
        <v>http://enext.ua/s2036055</v>
      </c>
    </row>
    <row r="3078" spans="2:7" ht="22.5" outlineLevel="5" x14ac:dyDescent="0.2">
      <c r="B3078" s="14" t="s">
        <v>5863</v>
      </c>
      <c r="C3078" s="14" t="s">
        <v>5864</v>
      </c>
      <c r="D3078" s="14">
        <v>1</v>
      </c>
      <c r="E3078" s="15">
        <v>262.01</v>
      </c>
      <c r="F3078" s="16" t="s">
        <v>4092</v>
      </c>
      <c r="G3078" s="38" t="str">
        <f>HYPERLINK("http://enext.ua/s2036056")</f>
        <v>http://enext.ua/s2036056</v>
      </c>
    </row>
    <row r="3079" spans="2:7" ht="11.25" outlineLevel="5" x14ac:dyDescent="0.2">
      <c r="B3079" s="14" t="s">
        <v>5865</v>
      </c>
      <c r="C3079" s="14" t="s">
        <v>5866</v>
      </c>
      <c r="D3079" s="14">
        <v>1</v>
      </c>
      <c r="E3079" s="15">
        <v>262.01</v>
      </c>
      <c r="F3079" s="16" t="s">
        <v>4092</v>
      </c>
      <c r="G3079" s="38" t="str">
        <f>HYPERLINK("http://enext.ua/s2036050")</f>
        <v>http://enext.ua/s2036050</v>
      </c>
    </row>
    <row r="3080" spans="2:7" ht="11.25" outlineLevel="5" x14ac:dyDescent="0.2">
      <c r="B3080" s="14" t="s">
        <v>5867</v>
      </c>
      <c r="C3080" s="14" t="s">
        <v>5868</v>
      </c>
      <c r="D3080" s="14">
        <v>1</v>
      </c>
      <c r="E3080" s="15">
        <v>262.01</v>
      </c>
      <c r="F3080" s="16" t="s">
        <v>4092</v>
      </c>
      <c r="G3080" s="38" t="str">
        <f>HYPERLINK("http://enext.ua/s2036051")</f>
        <v>http://enext.ua/s2036051</v>
      </c>
    </row>
    <row r="3081" spans="2:7" ht="11.25" outlineLevel="5" x14ac:dyDescent="0.2">
      <c r="B3081" s="14" t="s">
        <v>5869</v>
      </c>
      <c r="C3081" s="14" t="s">
        <v>5870</v>
      </c>
      <c r="D3081" s="14">
        <v>1</v>
      </c>
      <c r="E3081" s="15">
        <v>166.27</v>
      </c>
      <c r="F3081" s="16" t="s">
        <v>4092</v>
      </c>
      <c r="G3081" s="38" t="str">
        <f>HYPERLINK("http://enext.ua/s2036038")</f>
        <v>http://enext.ua/s2036038</v>
      </c>
    </row>
    <row r="3082" spans="2:7" ht="11.25" outlineLevel="5" x14ac:dyDescent="0.2">
      <c r="B3082" s="14" t="s">
        <v>5871</v>
      </c>
      <c r="C3082" s="14" t="s">
        <v>5872</v>
      </c>
      <c r="D3082" s="14">
        <v>1</v>
      </c>
      <c r="E3082" s="15">
        <v>166.27</v>
      </c>
      <c r="F3082" s="16" t="s">
        <v>4092</v>
      </c>
      <c r="G3082" s="38" t="str">
        <f>HYPERLINK("http://enext.ua/s2036039")</f>
        <v>http://enext.ua/s2036039</v>
      </c>
    </row>
    <row r="3083" spans="2:7" ht="11.25" outlineLevel="5" x14ac:dyDescent="0.2">
      <c r="B3083" s="14" t="s">
        <v>5873</v>
      </c>
      <c r="C3083" s="14" t="s">
        <v>5874</v>
      </c>
      <c r="D3083" s="14">
        <v>1</v>
      </c>
      <c r="E3083" s="15">
        <v>166.27</v>
      </c>
      <c r="F3083" s="16" t="s">
        <v>4092</v>
      </c>
      <c r="G3083" s="38" t="str">
        <f>HYPERLINK("http://enext.ua/s2036040")</f>
        <v>http://enext.ua/s2036040</v>
      </c>
    </row>
    <row r="3084" spans="2:7" ht="11.25" outlineLevel="5" x14ac:dyDescent="0.2">
      <c r="B3084" s="14" t="s">
        <v>5875</v>
      </c>
      <c r="C3084" s="14" t="s">
        <v>5876</v>
      </c>
      <c r="D3084" s="14">
        <v>1</v>
      </c>
      <c r="E3084" s="15">
        <v>166.27</v>
      </c>
      <c r="F3084" s="16" t="s">
        <v>4092</v>
      </c>
      <c r="G3084" s="38" t="str">
        <f>HYPERLINK("http://enext.ua/s2036041")</f>
        <v>http://enext.ua/s2036041</v>
      </c>
    </row>
    <row r="3085" spans="2:7" ht="22.5" outlineLevel="5" x14ac:dyDescent="0.2">
      <c r="B3085" s="14" t="s">
        <v>5877</v>
      </c>
      <c r="C3085" s="14" t="s">
        <v>5878</v>
      </c>
      <c r="D3085" s="14">
        <v>1</v>
      </c>
      <c r="E3085" s="15">
        <v>166.27</v>
      </c>
      <c r="F3085" s="16" t="s">
        <v>4092</v>
      </c>
      <c r="G3085" s="38" t="str">
        <f>HYPERLINK("http://enext.ua/s2036042")</f>
        <v>http://enext.ua/s2036042</v>
      </c>
    </row>
    <row r="3086" spans="2:7" ht="11.25" outlineLevel="5" x14ac:dyDescent="0.2">
      <c r="B3086" s="14" t="s">
        <v>5879</v>
      </c>
      <c r="C3086" s="14" t="s">
        <v>5880</v>
      </c>
      <c r="D3086" s="14">
        <v>1</v>
      </c>
      <c r="E3086" s="15">
        <v>166.27</v>
      </c>
      <c r="F3086" s="16" t="s">
        <v>4092</v>
      </c>
      <c r="G3086" s="38" t="str">
        <f>HYPERLINK("http://enext.ua/s2036036")</f>
        <v>http://enext.ua/s2036036</v>
      </c>
    </row>
    <row r="3087" spans="2:7" ht="11.25" outlineLevel="5" x14ac:dyDescent="0.2">
      <c r="B3087" s="14" t="s">
        <v>5881</v>
      </c>
      <c r="C3087" s="14" t="s">
        <v>5882</v>
      </c>
      <c r="D3087" s="14">
        <v>1</v>
      </c>
      <c r="E3087" s="15">
        <v>166.27</v>
      </c>
      <c r="F3087" s="16" t="s">
        <v>4092</v>
      </c>
      <c r="G3087" s="38" t="str">
        <f>HYPERLINK("http://enext.ua/s2036037")</f>
        <v>http://enext.ua/s2036037</v>
      </c>
    </row>
    <row r="3088" spans="2:7" ht="12" outlineLevel="4" x14ac:dyDescent="0.2">
      <c r="B3088" s="12"/>
      <c r="C3088" s="37" t="s">
        <v>5883</v>
      </c>
      <c r="D3088" s="12"/>
      <c r="E3088" s="13"/>
      <c r="F3088" s="13"/>
      <c r="G3088" s="12"/>
    </row>
    <row r="3089" spans="2:7" ht="11.25" outlineLevel="5" x14ac:dyDescent="0.2">
      <c r="B3089" s="14" t="s">
        <v>5884</v>
      </c>
      <c r="C3089" s="14" t="s">
        <v>5885</v>
      </c>
      <c r="D3089" s="14">
        <v>1</v>
      </c>
      <c r="E3089" s="15">
        <v>21.25</v>
      </c>
      <c r="F3089" s="16" t="s">
        <v>4092</v>
      </c>
      <c r="G3089" s="38" t="str">
        <f>HYPERLINK("http://enext.ua/s3036003")</f>
        <v>http://enext.ua/s3036003</v>
      </c>
    </row>
    <row r="3090" spans="2:7" ht="11.25" outlineLevel="5" x14ac:dyDescent="0.2">
      <c r="B3090" s="14" t="s">
        <v>5886</v>
      </c>
      <c r="C3090" s="14" t="s">
        <v>5887</v>
      </c>
      <c r="D3090" s="14">
        <v>1</v>
      </c>
      <c r="E3090" s="15">
        <v>21.25</v>
      </c>
      <c r="F3090" s="16" t="s">
        <v>4092</v>
      </c>
      <c r="G3090" s="38" t="str">
        <f>HYPERLINK("http://enext.ua/s3036004")</f>
        <v>http://enext.ua/s3036004</v>
      </c>
    </row>
    <row r="3091" spans="2:7" ht="11.25" outlineLevel="5" x14ac:dyDescent="0.2">
      <c r="B3091" s="14" t="s">
        <v>5888</v>
      </c>
      <c r="C3091" s="14" t="s">
        <v>5889</v>
      </c>
      <c r="D3091" s="14">
        <v>1</v>
      </c>
      <c r="E3091" s="15">
        <v>21.25</v>
      </c>
      <c r="F3091" s="16" t="s">
        <v>4092</v>
      </c>
      <c r="G3091" s="38" t="str">
        <f>HYPERLINK("http://enext.ua/s3036005")</f>
        <v>http://enext.ua/s3036005</v>
      </c>
    </row>
    <row r="3092" spans="2:7" ht="11.25" outlineLevel="5" x14ac:dyDescent="0.2">
      <c r="B3092" s="14" t="s">
        <v>5890</v>
      </c>
      <c r="C3092" s="14" t="s">
        <v>5891</v>
      </c>
      <c r="D3092" s="14">
        <v>1</v>
      </c>
      <c r="E3092" s="15">
        <v>21.25</v>
      </c>
      <c r="F3092" s="16" t="s">
        <v>4092</v>
      </c>
      <c r="G3092" s="38" t="str">
        <f>HYPERLINK("http://enext.ua/s3036006")</f>
        <v>http://enext.ua/s3036006</v>
      </c>
    </row>
    <row r="3093" spans="2:7" ht="22.5" outlineLevel="5" x14ac:dyDescent="0.2">
      <c r="B3093" s="14" t="s">
        <v>5892</v>
      </c>
      <c r="C3093" s="14" t="s">
        <v>5893</v>
      </c>
      <c r="D3093" s="14">
        <v>1</v>
      </c>
      <c r="E3093" s="15">
        <v>21.25</v>
      </c>
      <c r="F3093" s="16" t="s">
        <v>4092</v>
      </c>
      <c r="G3093" s="38" t="str">
        <f>HYPERLINK("http://enext.ua/s3036007")</f>
        <v>http://enext.ua/s3036007</v>
      </c>
    </row>
    <row r="3094" spans="2:7" ht="11.25" outlineLevel="5" x14ac:dyDescent="0.2">
      <c r="B3094" s="14" t="s">
        <v>5894</v>
      </c>
      <c r="C3094" s="14" t="s">
        <v>5895</v>
      </c>
      <c r="D3094" s="14">
        <v>1</v>
      </c>
      <c r="E3094" s="15">
        <v>21.25</v>
      </c>
      <c r="F3094" s="16" t="s">
        <v>4092</v>
      </c>
      <c r="G3094" s="38" t="str">
        <f>HYPERLINK("http://enext.ua/s3036001")</f>
        <v>http://enext.ua/s3036001</v>
      </c>
    </row>
    <row r="3095" spans="2:7" ht="11.25" outlineLevel="5" x14ac:dyDescent="0.2">
      <c r="B3095" s="14" t="s">
        <v>5896</v>
      </c>
      <c r="C3095" s="14" t="s">
        <v>5897</v>
      </c>
      <c r="D3095" s="14">
        <v>1</v>
      </c>
      <c r="E3095" s="15">
        <v>21.25</v>
      </c>
      <c r="F3095" s="16" t="s">
        <v>4092</v>
      </c>
      <c r="G3095" s="38" t="str">
        <f>HYPERLINK("http://enext.ua/s036005")</f>
        <v>http://enext.ua/s036005</v>
      </c>
    </row>
    <row r="3096" spans="2:7" ht="11.25" outlineLevel="5" x14ac:dyDescent="0.2">
      <c r="B3096" s="14" t="s">
        <v>5898</v>
      </c>
      <c r="C3096" s="14" t="s">
        <v>5899</v>
      </c>
      <c r="D3096" s="14">
        <v>1</v>
      </c>
      <c r="E3096" s="15">
        <v>21.25</v>
      </c>
      <c r="F3096" s="16" t="s">
        <v>4092</v>
      </c>
      <c r="G3096" s="38" t="str">
        <f>HYPERLINK("http://enext.ua/s3036002")</f>
        <v>http://enext.ua/s3036002</v>
      </c>
    </row>
    <row r="3097" spans="2:7" ht="11.25" outlineLevel="5" x14ac:dyDescent="0.2">
      <c r="B3097" s="14" t="s">
        <v>5900</v>
      </c>
      <c r="C3097" s="14" t="s">
        <v>5901</v>
      </c>
      <c r="D3097" s="14">
        <v>1</v>
      </c>
      <c r="E3097" s="15">
        <v>21.25</v>
      </c>
      <c r="F3097" s="16" t="s">
        <v>4092</v>
      </c>
      <c r="G3097" s="38" t="str">
        <f>HYPERLINK("http://enext.ua/s3036010")</f>
        <v>http://enext.ua/s3036010</v>
      </c>
    </row>
    <row r="3098" spans="2:7" ht="11.25" outlineLevel="5" x14ac:dyDescent="0.2">
      <c r="B3098" s="14" t="s">
        <v>5902</v>
      </c>
      <c r="C3098" s="14" t="s">
        <v>5903</v>
      </c>
      <c r="D3098" s="14">
        <v>1</v>
      </c>
      <c r="E3098" s="15">
        <v>21.25</v>
      </c>
      <c r="F3098" s="16" t="s">
        <v>4092</v>
      </c>
      <c r="G3098" s="38" t="str">
        <f>HYPERLINK("http://enext.ua/s3036011")</f>
        <v>http://enext.ua/s3036011</v>
      </c>
    </row>
    <row r="3099" spans="2:7" ht="22.5" outlineLevel="5" x14ac:dyDescent="0.2">
      <c r="B3099" s="14" t="s">
        <v>5904</v>
      </c>
      <c r="C3099" s="14" t="s">
        <v>5905</v>
      </c>
      <c r="D3099" s="14">
        <v>1</v>
      </c>
      <c r="E3099" s="15">
        <v>21.25</v>
      </c>
      <c r="F3099" s="16" t="s">
        <v>4092</v>
      </c>
      <c r="G3099" s="38" t="str">
        <f>HYPERLINK("http://enext.ua/s036006")</f>
        <v>http://enext.ua/s036006</v>
      </c>
    </row>
    <row r="3100" spans="2:7" ht="11.25" outlineLevel="5" x14ac:dyDescent="0.2">
      <c r="B3100" s="14" t="s">
        <v>5906</v>
      </c>
      <c r="C3100" s="14" t="s">
        <v>5907</v>
      </c>
      <c r="D3100" s="14">
        <v>1</v>
      </c>
      <c r="E3100" s="15">
        <v>21.25</v>
      </c>
      <c r="F3100" s="16" t="s">
        <v>4092</v>
      </c>
      <c r="G3100" s="38" t="str">
        <f>HYPERLINK("http://enext.ua/s3036013")</f>
        <v>http://enext.ua/s3036013</v>
      </c>
    </row>
    <row r="3101" spans="2:7" ht="22.5" outlineLevel="5" x14ac:dyDescent="0.2">
      <c r="B3101" s="14" t="s">
        <v>5908</v>
      </c>
      <c r="C3101" s="14" t="s">
        <v>5909</v>
      </c>
      <c r="D3101" s="14">
        <v>1</v>
      </c>
      <c r="E3101" s="15">
        <v>21.25</v>
      </c>
      <c r="F3101" s="16" t="s">
        <v>4092</v>
      </c>
      <c r="G3101" s="38" t="str">
        <f>HYPERLINK("http://enext.ua/s3036014")</f>
        <v>http://enext.ua/s3036014</v>
      </c>
    </row>
    <row r="3102" spans="2:7" ht="11.25" outlineLevel="5" x14ac:dyDescent="0.2">
      <c r="B3102" s="14" t="s">
        <v>5910</v>
      </c>
      <c r="C3102" s="14" t="s">
        <v>5911</v>
      </c>
      <c r="D3102" s="14">
        <v>1</v>
      </c>
      <c r="E3102" s="15">
        <v>21.25</v>
      </c>
      <c r="F3102" s="16" t="s">
        <v>4092</v>
      </c>
      <c r="G3102" s="38" t="str">
        <f>HYPERLINK("http://enext.ua/s3036008")</f>
        <v>http://enext.ua/s3036008</v>
      </c>
    </row>
    <row r="3103" spans="2:7" ht="11.25" outlineLevel="5" x14ac:dyDescent="0.2">
      <c r="B3103" s="14" t="s">
        <v>5912</v>
      </c>
      <c r="C3103" s="14" t="s">
        <v>5913</v>
      </c>
      <c r="D3103" s="14">
        <v>1</v>
      </c>
      <c r="E3103" s="15">
        <v>21.25</v>
      </c>
      <c r="F3103" s="16" t="s">
        <v>4092</v>
      </c>
      <c r="G3103" s="38" t="str">
        <f>HYPERLINK("http://enext.ua/s3036009")</f>
        <v>http://enext.ua/s3036009</v>
      </c>
    </row>
    <row r="3104" spans="2:7" ht="11.25" outlineLevel="5" x14ac:dyDescent="0.2">
      <c r="B3104" s="14" t="s">
        <v>5914</v>
      </c>
      <c r="C3104" s="14" t="s">
        <v>5915</v>
      </c>
      <c r="D3104" s="14">
        <v>1</v>
      </c>
      <c r="E3104" s="15">
        <v>21.25</v>
      </c>
      <c r="F3104" s="16" t="s">
        <v>4092</v>
      </c>
      <c r="G3104" s="38" t="str">
        <f>HYPERLINK("http://enext.ua/s3036017")</f>
        <v>http://enext.ua/s3036017</v>
      </c>
    </row>
    <row r="3105" spans="2:7" ht="11.25" outlineLevel="5" x14ac:dyDescent="0.2">
      <c r="B3105" s="14" t="s">
        <v>5916</v>
      </c>
      <c r="C3105" s="14" t="s">
        <v>5917</v>
      </c>
      <c r="D3105" s="14">
        <v>1</v>
      </c>
      <c r="E3105" s="15">
        <v>21.25</v>
      </c>
      <c r="F3105" s="16" t="s">
        <v>4092</v>
      </c>
      <c r="G3105" s="38" t="str">
        <f>HYPERLINK("http://enext.ua/s3036018")</f>
        <v>http://enext.ua/s3036018</v>
      </c>
    </row>
    <row r="3106" spans="2:7" ht="11.25" outlineLevel="5" x14ac:dyDescent="0.2">
      <c r="B3106" s="14" t="s">
        <v>5918</v>
      </c>
      <c r="C3106" s="14" t="s">
        <v>5919</v>
      </c>
      <c r="D3106" s="14">
        <v>1</v>
      </c>
      <c r="E3106" s="15">
        <v>21.25</v>
      </c>
      <c r="F3106" s="16" t="s">
        <v>4092</v>
      </c>
      <c r="G3106" s="38" t="str">
        <f>HYPERLINK("http://enext.ua/s3036019")</f>
        <v>http://enext.ua/s3036019</v>
      </c>
    </row>
    <row r="3107" spans="2:7" ht="11.25" outlineLevel="5" x14ac:dyDescent="0.2">
      <c r="B3107" s="14" t="s">
        <v>5920</v>
      </c>
      <c r="C3107" s="14" t="s">
        <v>5921</v>
      </c>
      <c r="D3107" s="14">
        <v>1</v>
      </c>
      <c r="E3107" s="15">
        <v>21.25</v>
      </c>
      <c r="F3107" s="16" t="s">
        <v>4092</v>
      </c>
      <c r="G3107" s="38" t="str">
        <f>HYPERLINK("http://enext.ua/s3036020")</f>
        <v>http://enext.ua/s3036020</v>
      </c>
    </row>
    <row r="3108" spans="2:7" ht="22.5" outlineLevel="5" x14ac:dyDescent="0.2">
      <c r="B3108" s="14" t="s">
        <v>5922</v>
      </c>
      <c r="C3108" s="14" t="s">
        <v>5923</v>
      </c>
      <c r="D3108" s="14">
        <v>1</v>
      </c>
      <c r="E3108" s="15">
        <v>21.25</v>
      </c>
      <c r="F3108" s="16" t="s">
        <v>4092</v>
      </c>
      <c r="G3108" s="38" t="str">
        <f>HYPERLINK("http://enext.ua/s3036021")</f>
        <v>http://enext.ua/s3036021</v>
      </c>
    </row>
    <row r="3109" spans="2:7" ht="11.25" outlineLevel="5" x14ac:dyDescent="0.2">
      <c r="B3109" s="14" t="s">
        <v>5924</v>
      </c>
      <c r="C3109" s="14" t="s">
        <v>5925</v>
      </c>
      <c r="D3109" s="14">
        <v>1</v>
      </c>
      <c r="E3109" s="15">
        <v>21.25</v>
      </c>
      <c r="F3109" s="16" t="s">
        <v>4092</v>
      </c>
      <c r="G3109" s="38" t="str">
        <f>HYPERLINK("http://enext.ua/s3036015")</f>
        <v>http://enext.ua/s3036015</v>
      </c>
    </row>
    <row r="3110" spans="2:7" ht="11.25" outlineLevel="5" x14ac:dyDescent="0.2">
      <c r="B3110" s="14" t="s">
        <v>5926</v>
      </c>
      <c r="C3110" s="14" t="s">
        <v>5927</v>
      </c>
      <c r="D3110" s="14">
        <v>1</v>
      </c>
      <c r="E3110" s="15">
        <v>21.25</v>
      </c>
      <c r="F3110" s="16" t="s">
        <v>4092</v>
      </c>
      <c r="G3110" s="38" t="str">
        <f>HYPERLINK("http://enext.ua/s3036016")</f>
        <v>http://enext.ua/s3036016</v>
      </c>
    </row>
    <row r="3111" spans="2:7" ht="11.25" outlineLevel="5" x14ac:dyDescent="0.2">
      <c r="B3111" s="14" t="s">
        <v>5928</v>
      </c>
      <c r="C3111" s="14" t="s">
        <v>5929</v>
      </c>
      <c r="D3111" s="14">
        <v>1</v>
      </c>
      <c r="E3111" s="15">
        <v>23.23</v>
      </c>
      <c r="F3111" s="16" t="s">
        <v>4092</v>
      </c>
      <c r="G3111" s="38" t="str">
        <f>HYPERLINK("http://enext.ua/s3036050")</f>
        <v>http://enext.ua/s3036050</v>
      </c>
    </row>
    <row r="3112" spans="2:7" ht="11.25" outlineLevel="5" x14ac:dyDescent="0.2">
      <c r="B3112" s="14" t="s">
        <v>5930</v>
      </c>
      <c r="C3112" s="14" t="s">
        <v>5931</v>
      </c>
      <c r="D3112" s="14">
        <v>1</v>
      </c>
      <c r="E3112" s="15">
        <v>29.46</v>
      </c>
      <c r="F3112" s="16" t="s">
        <v>4092</v>
      </c>
      <c r="G3112" s="38" t="str">
        <f>HYPERLINK("http://enext.ua/s3036024")</f>
        <v>http://enext.ua/s3036024</v>
      </c>
    </row>
    <row r="3113" spans="2:7" ht="11.25" outlineLevel="5" x14ac:dyDescent="0.2">
      <c r="B3113" s="14" t="s">
        <v>5932</v>
      </c>
      <c r="C3113" s="14" t="s">
        <v>5933</v>
      </c>
      <c r="D3113" s="14">
        <v>1</v>
      </c>
      <c r="E3113" s="15">
        <v>29.46</v>
      </c>
      <c r="F3113" s="16" t="s">
        <v>4092</v>
      </c>
      <c r="G3113" s="38" t="str">
        <f>HYPERLINK("http://enext.ua/s3036025")</f>
        <v>http://enext.ua/s3036025</v>
      </c>
    </row>
    <row r="3114" spans="2:7" ht="11.25" outlineLevel="5" x14ac:dyDescent="0.2">
      <c r="B3114" s="14" t="s">
        <v>5934</v>
      </c>
      <c r="C3114" s="14" t="s">
        <v>5935</v>
      </c>
      <c r="D3114" s="14">
        <v>1</v>
      </c>
      <c r="E3114" s="15">
        <v>29.46</v>
      </c>
      <c r="F3114" s="16" t="s">
        <v>4092</v>
      </c>
      <c r="G3114" s="38" t="str">
        <f>HYPERLINK("http://enext.ua/s3036026")</f>
        <v>http://enext.ua/s3036026</v>
      </c>
    </row>
    <row r="3115" spans="2:7" ht="11.25" outlineLevel="5" x14ac:dyDescent="0.2">
      <c r="B3115" s="14" t="s">
        <v>5936</v>
      </c>
      <c r="C3115" s="14" t="s">
        <v>5937</v>
      </c>
      <c r="D3115" s="14">
        <v>1</v>
      </c>
      <c r="E3115" s="15">
        <v>29.46</v>
      </c>
      <c r="F3115" s="16" t="s">
        <v>4092</v>
      </c>
      <c r="G3115" s="38" t="str">
        <f>HYPERLINK("http://enext.ua/s3036027")</f>
        <v>http://enext.ua/s3036027</v>
      </c>
    </row>
    <row r="3116" spans="2:7" ht="22.5" outlineLevel="5" x14ac:dyDescent="0.2">
      <c r="B3116" s="14" t="s">
        <v>5938</v>
      </c>
      <c r="C3116" s="14" t="s">
        <v>5939</v>
      </c>
      <c r="D3116" s="14">
        <v>1</v>
      </c>
      <c r="E3116" s="15">
        <v>29.46</v>
      </c>
      <c r="F3116" s="16" t="s">
        <v>4092</v>
      </c>
      <c r="G3116" s="38" t="str">
        <f>HYPERLINK("http://enext.ua/s3036028")</f>
        <v>http://enext.ua/s3036028</v>
      </c>
    </row>
    <row r="3117" spans="2:7" ht="11.25" outlineLevel="5" x14ac:dyDescent="0.2">
      <c r="B3117" s="14" t="s">
        <v>5940</v>
      </c>
      <c r="C3117" s="14" t="s">
        <v>5941</v>
      </c>
      <c r="D3117" s="14">
        <v>1</v>
      </c>
      <c r="E3117" s="15">
        <v>29.46</v>
      </c>
      <c r="F3117" s="16" t="s">
        <v>4092</v>
      </c>
      <c r="G3117" s="38" t="str">
        <f>HYPERLINK("http://enext.ua/s3036022")</f>
        <v>http://enext.ua/s3036022</v>
      </c>
    </row>
    <row r="3118" spans="2:7" ht="11.25" outlineLevel="5" x14ac:dyDescent="0.2">
      <c r="B3118" s="14" t="s">
        <v>5942</v>
      </c>
      <c r="C3118" s="14" t="s">
        <v>5943</v>
      </c>
      <c r="D3118" s="14">
        <v>1</v>
      </c>
      <c r="E3118" s="15">
        <v>29.46</v>
      </c>
      <c r="F3118" s="16" t="s">
        <v>4092</v>
      </c>
      <c r="G3118" s="38" t="str">
        <f>HYPERLINK("http://enext.ua/s3036023")</f>
        <v>http://enext.ua/s3036023</v>
      </c>
    </row>
    <row r="3119" spans="2:7" ht="11.25" outlineLevel="5" x14ac:dyDescent="0.2">
      <c r="B3119" s="14" t="s">
        <v>5944</v>
      </c>
      <c r="C3119" s="14" t="s">
        <v>5945</v>
      </c>
      <c r="D3119" s="14">
        <v>1</v>
      </c>
      <c r="E3119" s="15">
        <v>30.31</v>
      </c>
      <c r="F3119" s="16" t="s">
        <v>4092</v>
      </c>
      <c r="G3119" s="38" t="str">
        <f>HYPERLINK("http://enext.ua/s3036031")</f>
        <v>http://enext.ua/s3036031</v>
      </c>
    </row>
    <row r="3120" spans="2:7" ht="11.25" outlineLevel="5" x14ac:dyDescent="0.2">
      <c r="B3120" s="14" t="s">
        <v>5946</v>
      </c>
      <c r="C3120" s="14" t="s">
        <v>5947</v>
      </c>
      <c r="D3120" s="14">
        <v>1</v>
      </c>
      <c r="E3120" s="15">
        <v>30.31</v>
      </c>
      <c r="F3120" s="16" t="s">
        <v>4092</v>
      </c>
      <c r="G3120" s="38" t="str">
        <f>HYPERLINK("http://enext.ua/s3036032")</f>
        <v>http://enext.ua/s3036032</v>
      </c>
    </row>
    <row r="3121" spans="2:7" ht="11.25" outlineLevel="5" x14ac:dyDescent="0.2">
      <c r="B3121" s="14" t="s">
        <v>5948</v>
      </c>
      <c r="C3121" s="14" t="s">
        <v>5949</v>
      </c>
      <c r="D3121" s="14">
        <v>1</v>
      </c>
      <c r="E3121" s="15">
        <v>30.31</v>
      </c>
      <c r="F3121" s="16" t="s">
        <v>4092</v>
      </c>
      <c r="G3121" s="38" t="str">
        <f>HYPERLINK("http://enext.ua/s3036033")</f>
        <v>http://enext.ua/s3036033</v>
      </c>
    </row>
    <row r="3122" spans="2:7" ht="11.25" outlineLevel="5" x14ac:dyDescent="0.2">
      <c r="B3122" s="14" t="s">
        <v>5950</v>
      </c>
      <c r="C3122" s="14" t="s">
        <v>5951</v>
      </c>
      <c r="D3122" s="14">
        <v>1</v>
      </c>
      <c r="E3122" s="15">
        <v>30.31</v>
      </c>
      <c r="F3122" s="16" t="s">
        <v>4092</v>
      </c>
      <c r="G3122" s="38" t="str">
        <f>HYPERLINK("http://enext.ua/s3036034")</f>
        <v>http://enext.ua/s3036034</v>
      </c>
    </row>
    <row r="3123" spans="2:7" ht="22.5" outlineLevel="5" x14ac:dyDescent="0.2">
      <c r="B3123" s="14" t="s">
        <v>5952</v>
      </c>
      <c r="C3123" s="14" t="s">
        <v>5953</v>
      </c>
      <c r="D3123" s="14">
        <v>1</v>
      </c>
      <c r="E3123" s="15">
        <v>30.31</v>
      </c>
      <c r="F3123" s="16" t="s">
        <v>4092</v>
      </c>
      <c r="G3123" s="38" t="str">
        <f>HYPERLINK("http://enext.ua/s3036035")</f>
        <v>http://enext.ua/s3036035</v>
      </c>
    </row>
    <row r="3124" spans="2:7" ht="11.25" outlineLevel="5" x14ac:dyDescent="0.2">
      <c r="B3124" s="14" t="s">
        <v>5954</v>
      </c>
      <c r="C3124" s="14" t="s">
        <v>5955</v>
      </c>
      <c r="D3124" s="14">
        <v>1</v>
      </c>
      <c r="E3124" s="15">
        <v>30.31</v>
      </c>
      <c r="F3124" s="16" t="s">
        <v>4092</v>
      </c>
      <c r="G3124" s="38" t="str">
        <f>HYPERLINK("http://enext.ua/s3036029")</f>
        <v>http://enext.ua/s3036029</v>
      </c>
    </row>
    <row r="3125" spans="2:7" ht="11.25" outlineLevel="5" x14ac:dyDescent="0.2">
      <c r="B3125" s="14" t="s">
        <v>5956</v>
      </c>
      <c r="C3125" s="14" t="s">
        <v>5957</v>
      </c>
      <c r="D3125" s="14">
        <v>1</v>
      </c>
      <c r="E3125" s="15">
        <v>30.31</v>
      </c>
      <c r="F3125" s="16" t="s">
        <v>4092</v>
      </c>
      <c r="G3125" s="38" t="str">
        <f>HYPERLINK("http://enext.ua/s3036030")</f>
        <v>http://enext.ua/s3036030</v>
      </c>
    </row>
    <row r="3126" spans="2:7" ht="11.25" outlineLevel="5" x14ac:dyDescent="0.2">
      <c r="B3126" s="14" t="s">
        <v>5958</v>
      </c>
      <c r="C3126" s="14" t="s">
        <v>5959</v>
      </c>
      <c r="D3126" s="14">
        <v>1</v>
      </c>
      <c r="E3126" s="15">
        <v>40.79</v>
      </c>
      <c r="F3126" s="16" t="s">
        <v>4092</v>
      </c>
      <c r="G3126" s="38" t="str">
        <f>HYPERLINK("http://enext.ua/s3036038")</f>
        <v>http://enext.ua/s3036038</v>
      </c>
    </row>
    <row r="3127" spans="2:7" ht="11.25" outlineLevel="5" x14ac:dyDescent="0.2">
      <c r="B3127" s="14" t="s">
        <v>5960</v>
      </c>
      <c r="C3127" s="14" t="s">
        <v>5961</v>
      </c>
      <c r="D3127" s="14">
        <v>1</v>
      </c>
      <c r="E3127" s="15">
        <v>40.79</v>
      </c>
      <c r="F3127" s="16" t="s">
        <v>4092</v>
      </c>
      <c r="G3127" s="38" t="str">
        <f>HYPERLINK("http://enext.ua/s3036039")</f>
        <v>http://enext.ua/s3036039</v>
      </c>
    </row>
    <row r="3128" spans="2:7" ht="11.25" outlineLevel="5" x14ac:dyDescent="0.2">
      <c r="B3128" s="14" t="s">
        <v>5962</v>
      </c>
      <c r="C3128" s="14" t="s">
        <v>5963</v>
      </c>
      <c r="D3128" s="14">
        <v>1</v>
      </c>
      <c r="E3128" s="15">
        <v>40.79</v>
      </c>
      <c r="F3128" s="16" t="s">
        <v>4092</v>
      </c>
      <c r="G3128" s="38" t="str">
        <f>HYPERLINK("http://enext.ua/s3036040")</f>
        <v>http://enext.ua/s3036040</v>
      </c>
    </row>
    <row r="3129" spans="2:7" ht="11.25" outlineLevel="5" x14ac:dyDescent="0.2">
      <c r="B3129" s="14" t="s">
        <v>5964</v>
      </c>
      <c r="C3129" s="14" t="s">
        <v>5965</v>
      </c>
      <c r="D3129" s="14">
        <v>1</v>
      </c>
      <c r="E3129" s="15">
        <v>40.79</v>
      </c>
      <c r="F3129" s="16" t="s">
        <v>4092</v>
      </c>
      <c r="G3129" s="38" t="str">
        <f>HYPERLINK("http://enext.ua/s036010")</f>
        <v>http://enext.ua/s036010</v>
      </c>
    </row>
    <row r="3130" spans="2:7" ht="22.5" outlineLevel="5" x14ac:dyDescent="0.2">
      <c r="B3130" s="14" t="s">
        <v>5966</v>
      </c>
      <c r="C3130" s="14" t="s">
        <v>5967</v>
      </c>
      <c r="D3130" s="14">
        <v>1</v>
      </c>
      <c r="E3130" s="15">
        <v>40.79</v>
      </c>
      <c r="F3130" s="16" t="s">
        <v>4092</v>
      </c>
      <c r="G3130" s="38" t="str">
        <f>HYPERLINK("http://enext.ua/s3036042")</f>
        <v>http://enext.ua/s3036042</v>
      </c>
    </row>
    <row r="3131" spans="2:7" ht="11.25" outlineLevel="5" x14ac:dyDescent="0.2">
      <c r="B3131" s="14" t="s">
        <v>5968</v>
      </c>
      <c r="C3131" s="14" t="s">
        <v>5969</v>
      </c>
      <c r="D3131" s="14">
        <v>1</v>
      </c>
      <c r="E3131" s="15">
        <v>40.79</v>
      </c>
      <c r="F3131" s="16" t="s">
        <v>4092</v>
      </c>
      <c r="G3131" s="38" t="str">
        <f>HYPERLINK("http://enext.ua/s3036036")</f>
        <v>http://enext.ua/s3036036</v>
      </c>
    </row>
    <row r="3132" spans="2:7" ht="11.25" outlineLevel="5" x14ac:dyDescent="0.2">
      <c r="B3132" s="14" t="s">
        <v>5970</v>
      </c>
      <c r="C3132" s="14" t="s">
        <v>5971</v>
      </c>
      <c r="D3132" s="14">
        <v>1</v>
      </c>
      <c r="E3132" s="15">
        <v>40.79</v>
      </c>
      <c r="F3132" s="16" t="s">
        <v>4092</v>
      </c>
      <c r="G3132" s="38" t="str">
        <f>HYPERLINK("http://enext.ua/s3036037")</f>
        <v>http://enext.ua/s3036037</v>
      </c>
    </row>
    <row r="3133" spans="2:7" ht="11.25" outlineLevel="5" x14ac:dyDescent="0.2">
      <c r="B3133" s="14" t="s">
        <v>5972</v>
      </c>
      <c r="C3133" s="14" t="s">
        <v>5973</v>
      </c>
      <c r="D3133" s="14">
        <v>1</v>
      </c>
      <c r="E3133" s="15">
        <v>62.32</v>
      </c>
      <c r="F3133" s="16" t="s">
        <v>4092</v>
      </c>
      <c r="G3133" s="38" t="str">
        <f>HYPERLINK("http://enext.ua/s3036053")</f>
        <v>http://enext.ua/s3036053</v>
      </c>
    </row>
    <row r="3134" spans="2:7" ht="11.25" outlineLevel="5" x14ac:dyDescent="0.2">
      <c r="B3134" s="14" t="s">
        <v>5974</v>
      </c>
      <c r="C3134" s="14" t="s">
        <v>5975</v>
      </c>
      <c r="D3134" s="14">
        <v>1</v>
      </c>
      <c r="E3134" s="15">
        <v>62.32</v>
      </c>
      <c r="F3134" s="16" t="s">
        <v>4092</v>
      </c>
      <c r="G3134" s="38" t="str">
        <f>HYPERLINK("http://enext.ua/s3036052")</f>
        <v>http://enext.ua/s3036052</v>
      </c>
    </row>
    <row r="3135" spans="2:7" ht="11.25" outlineLevel="5" x14ac:dyDescent="0.2">
      <c r="B3135" s="14" t="s">
        <v>5976</v>
      </c>
      <c r="C3135" s="14" t="s">
        <v>5977</v>
      </c>
      <c r="D3135" s="14">
        <v>1</v>
      </c>
      <c r="E3135" s="15">
        <v>75.47</v>
      </c>
      <c r="F3135" s="16" t="s">
        <v>4092</v>
      </c>
      <c r="G3135" s="38" t="str">
        <f>HYPERLINK("http://enext.ua/s3036045")</f>
        <v>http://enext.ua/s3036045</v>
      </c>
    </row>
    <row r="3136" spans="2:7" ht="11.25" outlineLevel="5" x14ac:dyDescent="0.2">
      <c r="B3136" s="14" t="s">
        <v>5978</v>
      </c>
      <c r="C3136" s="14" t="s">
        <v>5979</v>
      </c>
      <c r="D3136" s="14">
        <v>1</v>
      </c>
      <c r="E3136" s="15">
        <v>75.47</v>
      </c>
      <c r="F3136" s="16" t="s">
        <v>4092</v>
      </c>
      <c r="G3136" s="38" t="str">
        <f>HYPERLINK("http://enext.ua/s3036046")</f>
        <v>http://enext.ua/s3036046</v>
      </c>
    </row>
    <row r="3137" spans="2:7" ht="22.5" outlineLevel="5" x14ac:dyDescent="0.2">
      <c r="B3137" s="14" t="s">
        <v>5980</v>
      </c>
      <c r="C3137" s="14" t="s">
        <v>5981</v>
      </c>
      <c r="D3137" s="14">
        <v>1</v>
      </c>
      <c r="E3137" s="15">
        <v>75.47</v>
      </c>
      <c r="F3137" s="16" t="s">
        <v>4092</v>
      </c>
      <c r="G3137" s="38" t="str">
        <f>HYPERLINK("http://enext.ua/s3036051")</f>
        <v>http://enext.ua/s3036051</v>
      </c>
    </row>
    <row r="3138" spans="2:7" ht="11.25" outlineLevel="5" x14ac:dyDescent="0.2">
      <c r="B3138" s="14" t="s">
        <v>5982</v>
      </c>
      <c r="C3138" s="14" t="s">
        <v>5983</v>
      </c>
      <c r="D3138" s="14">
        <v>1</v>
      </c>
      <c r="E3138" s="15">
        <v>75.47</v>
      </c>
      <c r="F3138" s="16" t="s">
        <v>4092</v>
      </c>
      <c r="G3138" s="38" t="str">
        <f>HYPERLINK("http://enext.ua/s3036047")</f>
        <v>http://enext.ua/s3036047</v>
      </c>
    </row>
    <row r="3139" spans="2:7" ht="11.25" outlineLevel="5" x14ac:dyDescent="0.2">
      <c r="B3139" s="14" t="s">
        <v>5984</v>
      </c>
      <c r="C3139" s="14" t="s">
        <v>5985</v>
      </c>
      <c r="D3139" s="14">
        <v>1</v>
      </c>
      <c r="E3139" s="15">
        <v>75.47</v>
      </c>
      <c r="F3139" s="16" t="s">
        <v>4092</v>
      </c>
      <c r="G3139" s="38" t="str">
        <f>HYPERLINK("http://enext.ua/s3036048")</f>
        <v>http://enext.ua/s3036048</v>
      </c>
    </row>
    <row r="3140" spans="2:7" ht="22.5" outlineLevel="5" x14ac:dyDescent="0.2">
      <c r="B3140" s="14" t="s">
        <v>5986</v>
      </c>
      <c r="C3140" s="14" t="s">
        <v>5987</v>
      </c>
      <c r="D3140" s="14">
        <v>1</v>
      </c>
      <c r="E3140" s="15">
        <v>23.23</v>
      </c>
      <c r="F3140" s="16" t="s">
        <v>4092</v>
      </c>
      <c r="G3140" s="38" t="str">
        <f>HYPERLINK("http://enext.ua/s036011")</f>
        <v>http://enext.ua/s036011</v>
      </c>
    </row>
    <row r="3141" spans="2:7" ht="22.5" outlineLevel="5" x14ac:dyDescent="0.2">
      <c r="B3141" s="14" t="s">
        <v>5988</v>
      </c>
      <c r="C3141" s="14" t="s">
        <v>5989</v>
      </c>
      <c r="D3141" s="14">
        <v>1</v>
      </c>
      <c r="E3141" s="15">
        <v>75.47</v>
      </c>
      <c r="F3141" s="16" t="s">
        <v>4092</v>
      </c>
      <c r="G3141" s="38" t="str">
        <f>HYPERLINK("http://enext.ua/s3036049")</f>
        <v>http://enext.ua/s3036049</v>
      </c>
    </row>
    <row r="3142" spans="2:7" ht="11.25" outlineLevel="5" x14ac:dyDescent="0.2">
      <c r="B3142" s="14" t="s">
        <v>5990</v>
      </c>
      <c r="C3142" s="14" t="s">
        <v>5991</v>
      </c>
      <c r="D3142" s="14">
        <v>1</v>
      </c>
      <c r="E3142" s="15">
        <v>75.47</v>
      </c>
      <c r="F3142" s="16" t="s">
        <v>4092</v>
      </c>
      <c r="G3142" s="38" t="str">
        <f>HYPERLINK("http://enext.ua/s3036043")</f>
        <v>http://enext.ua/s3036043</v>
      </c>
    </row>
    <row r="3143" spans="2:7" ht="11.25" outlineLevel="5" x14ac:dyDescent="0.2">
      <c r="B3143" s="14" t="s">
        <v>5992</v>
      </c>
      <c r="C3143" s="14" t="s">
        <v>5993</v>
      </c>
      <c r="D3143" s="14">
        <v>1</v>
      </c>
      <c r="E3143" s="15">
        <v>75.47</v>
      </c>
      <c r="F3143" s="16" t="s">
        <v>4092</v>
      </c>
      <c r="G3143" s="38" t="str">
        <f>HYPERLINK("http://enext.ua/s3036044")</f>
        <v>http://enext.ua/s3036044</v>
      </c>
    </row>
    <row r="3144" spans="2:7" ht="11.25" outlineLevel="5" x14ac:dyDescent="0.2">
      <c r="B3144" s="14" t="s">
        <v>5994</v>
      </c>
      <c r="C3144" s="14" t="s">
        <v>5995</v>
      </c>
      <c r="D3144" s="14">
        <v>1</v>
      </c>
      <c r="E3144" s="15">
        <v>120.95</v>
      </c>
      <c r="F3144" s="16" t="s">
        <v>4092</v>
      </c>
      <c r="G3144" s="38" t="str">
        <f>HYPERLINK("http://enext.ua/s3036054")</f>
        <v>http://enext.ua/s3036054</v>
      </c>
    </row>
    <row r="3145" spans="2:7" ht="11.25" outlineLevel="5" x14ac:dyDescent="0.2">
      <c r="B3145" s="14" t="s">
        <v>5996</v>
      </c>
      <c r="C3145" s="14" t="s">
        <v>5997</v>
      </c>
      <c r="D3145" s="14">
        <v>1</v>
      </c>
      <c r="E3145" s="15">
        <v>211.03</v>
      </c>
      <c r="F3145" s="16" t="s">
        <v>4092</v>
      </c>
      <c r="G3145" s="38" t="str">
        <f>HYPERLINK("http://enext.ua/s3036055")</f>
        <v>http://enext.ua/s3036055</v>
      </c>
    </row>
    <row r="3146" spans="2:7" ht="11.25" outlineLevel="5" x14ac:dyDescent="0.2">
      <c r="B3146" s="14" t="s">
        <v>5998</v>
      </c>
      <c r="C3146" s="14" t="s">
        <v>5999</v>
      </c>
      <c r="D3146" s="14">
        <v>1</v>
      </c>
      <c r="E3146" s="15">
        <v>252.95</v>
      </c>
      <c r="F3146" s="16" t="s">
        <v>4092</v>
      </c>
      <c r="G3146" s="38" t="str">
        <f>HYPERLINK("http://enext.ua/s3036056")</f>
        <v>http://enext.ua/s3036056</v>
      </c>
    </row>
    <row r="3147" spans="2:7" ht="11.25" outlineLevel="5" x14ac:dyDescent="0.2">
      <c r="B3147" s="14" t="s">
        <v>6000</v>
      </c>
      <c r="C3147" s="14" t="s">
        <v>6001</v>
      </c>
      <c r="D3147" s="14">
        <v>1</v>
      </c>
      <c r="E3147" s="15">
        <v>392.87</v>
      </c>
      <c r="F3147" s="16" t="s">
        <v>4092</v>
      </c>
      <c r="G3147" s="38" t="str">
        <f>HYPERLINK("http://enext.ua/s3036057")</f>
        <v>http://enext.ua/s3036057</v>
      </c>
    </row>
    <row r="3148" spans="2:7" ht="12" outlineLevel="4" x14ac:dyDescent="0.2">
      <c r="B3148" s="12"/>
      <c r="C3148" s="37" t="s">
        <v>6002</v>
      </c>
      <c r="D3148" s="12"/>
      <c r="E3148" s="13"/>
      <c r="F3148" s="13"/>
      <c r="G3148" s="12"/>
    </row>
    <row r="3149" spans="2:7" ht="11.25" outlineLevel="5" x14ac:dyDescent="0.2">
      <c r="B3149" s="14" t="s">
        <v>6003</v>
      </c>
      <c r="C3149" s="14" t="s">
        <v>6004</v>
      </c>
      <c r="D3149" s="14">
        <v>1</v>
      </c>
      <c r="E3149" s="15">
        <v>103.96</v>
      </c>
      <c r="F3149" s="16" t="s">
        <v>4092</v>
      </c>
      <c r="G3149" s="38" t="str">
        <f>HYPERLINK("http://enext.ua/s4036003")</f>
        <v>http://enext.ua/s4036003</v>
      </c>
    </row>
    <row r="3150" spans="2:7" ht="11.25" outlineLevel="5" x14ac:dyDescent="0.2">
      <c r="B3150" s="14" t="s">
        <v>6005</v>
      </c>
      <c r="C3150" s="14" t="s">
        <v>6006</v>
      </c>
      <c r="D3150" s="14">
        <v>1</v>
      </c>
      <c r="E3150" s="15">
        <v>103.96</v>
      </c>
      <c r="F3150" s="16" t="s">
        <v>4092</v>
      </c>
      <c r="G3150" s="38" t="str">
        <f>HYPERLINK("http://enext.ua/s4036004")</f>
        <v>http://enext.ua/s4036004</v>
      </c>
    </row>
    <row r="3151" spans="2:7" ht="11.25" outlineLevel="5" x14ac:dyDescent="0.2">
      <c r="B3151" s="14" t="s">
        <v>6007</v>
      </c>
      <c r="C3151" s="14" t="s">
        <v>6008</v>
      </c>
      <c r="D3151" s="14">
        <v>1</v>
      </c>
      <c r="E3151" s="15">
        <v>103.96</v>
      </c>
      <c r="F3151" s="16" t="s">
        <v>4092</v>
      </c>
      <c r="G3151" s="38" t="str">
        <f>HYPERLINK("http://enext.ua/s4036005")</f>
        <v>http://enext.ua/s4036005</v>
      </c>
    </row>
    <row r="3152" spans="2:7" ht="11.25" outlineLevel="5" x14ac:dyDescent="0.2">
      <c r="B3152" s="14" t="s">
        <v>6009</v>
      </c>
      <c r="C3152" s="14" t="s">
        <v>6010</v>
      </c>
      <c r="D3152" s="14">
        <v>1</v>
      </c>
      <c r="E3152" s="15">
        <v>103.96</v>
      </c>
      <c r="F3152" s="16" t="s">
        <v>4092</v>
      </c>
      <c r="G3152" s="38" t="str">
        <f>HYPERLINK("http://enext.ua/s4036006")</f>
        <v>http://enext.ua/s4036006</v>
      </c>
    </row>
    <row r="3153" spans="2:7" ht="22.5" outlineLevel="5" x14ac:dyDescent="0.2">
      <c r="B3153" s="14" t="s">
        <v>6011</v>
      </c>
      <c r="C3153" s="14" t="s">
        <v>6012</v>
      </c>
      <c r="D3153" s="14">
        <v>1</v>
      </c>
      <c r="E3153" s="15">
        <v>103.96</v>
      </c>
      <c r="F3153" s="16" t="s">
        <v>4092</v>
      </c>
      <c r="G3153" s="38" t="str">
        <f>HYPERLINK("http://enext.ua/s4036007")</f>
        <v>http://enext.ua/s4036007</v>
      </c>
    </row>
    <row r="3154" spans="2:7" ht="11.25" outlineLevel="5" x14ac:dyDescent="0.2">
      <c r="B3154" s="14" t="s">
        <v>6013</v>
      </c>
      <c r="C3154" s="14" t="s">
        <v>6014</v>
      </c>
      <c r="D3154" s="14">
        <v>1</v>
      </c>
      <c r="E3154" s="15">
        <v>103.96</v>
      </c>
      <c r="F3154" s="16" t="s">
        <v>4092</v>
      </c>
      <c r="G3154" s="38" t="str">
        <f>HYPERLINK("http://enext.ua/s4036001")</f>
        <v>http://enext.ua/s4036001</v>
      </c>
    </row>
    <row r="3155" spans="2:7" ht="11.25" outlineLevel="5" x14ac:dyDescent="0.2">
      <c r="B3155" s="14" t="s">
        <v>6015</v>
      </c>
      <c r="C3155" s="14" t="s">
        <v>6016</v>
      </c>
      <c r="D3155" s="14">
        <v>1</v>
      </c>
      <c r="E3155" s="15">
        <v>103.96</v>
      </c>
      <c r="F3155" s="16" t="s">
        <v>4092</v>
      </c>
      <c r="G3155" s="38" t="str">
        <f>HYPERLINK("http://enext.ua/s4036002")</f>
        <v>http://enext.ua/s4036002</v>
      </c>
    </row>
    <row r="3156" spans="2:7" ht="11.25" outlineLevel="5" x14ac:dyDescent="0.2">
      <c r="B3156" s="14" t="s">
        <v>6017</v>
      </c>
      <c r="C3156" s="14" t="s">
        <v>6018</v>
      </c>
      <c r="D3156" s="14">
        <v>1</v>
      </c>
      <c r="E3156" s="15">
        <v>126.11</v>
      </c>
      <c r="F3156" s="16" t="s">
        <v>4092</v>
      </c>
      <c r="G3156" s="38" t="str">
        <f>HYPERLINK("http://enext.ua/s4036010")</f>
        <v>http://enext.ua/s4036010</v>
      </c>
    </row>
    <row r="3157" spans="2:7" ht="11.25" outlineLevel="5" x14ac:dyDescent="0.2">
      <c r="B3157" s="14" t="s">
        <v>6019</v>
      </c>
      <c r="C3157" s="14" t="s">
        <v>6020</v>
      </c>
      <c r="D3157" s="14">
        <v>1</v>
      </c>
      <c r="E3157" s="15">
        <v>126.11</v>
      </c>
      <c r="F3157" s="16" t="s">
        <v>4092</v>
      </c>
      <c r="G3157" s="38" t="str">
        <f>HYPERLINK("http://enext.ua/s4036011")</f>
        <v>http://enext.ua/s4036011</v>
      </c>
    </row>
    <row r="3158" spans="2:7" ht="11.25" outlineLevel="5" x14ac:dyDescent="0.2">
      <c r="B3158" s="14" t="s">
        <v>6021</v>
      </c>
      <c r="C3158" s="14" t="s">
        <v>6022</v>
      </c>
      <c r="D3158" s="14">
        <v>1</v>
      </c>
      <c r="E3158" s="15">
        <v>126.11</v>
      </c>
      <c r="F3158" s="16" t="s">
        <v>4092</v>
      </c>
      <c r="G3158" s="38" t="str">
        <f>HYPERLINK("http://enext.ua/s4036012")</f>
        <v>http://enext.ua/s4036012</v>
      </c>
    </row>
    <row r="3159" spans="2:7" ht="11.25" outlineLevel="5" x14ac:dyDescent="0.2">
      <c r="B3159" s="14" t="s">
        <v>6023</v>
      </c>
      <c r="C3159" s="14" t="s">
        <v>6024</v>
      </c>
      <c r="D3159" s="14">
        <v>1</v>
      </c>
      <c r="E3159" s="15">
        <v>126.11</v>
      </c>
      <c r="F3159" s="16" t="s">
        <v>4092</v>
      </c>
      <c r="G3159" s="38" t="str">
        <f>HYPERLINK("http://enext.ua/s4036013")</f>
        <v>http://enext.ua/s4036013</v>
      </c>
    </row>
    <row r="3160" spans="2:7" ht="22.5" outlineLevel="5" x14ac:dyDescent="0.2">
      <c r="B3160" s="14" t="s">
        <v>6025</v>
      </c>
      <c r="C3160" s="14" t="s">
        <v>6026</v>
      </c>
      <c r="D3160" s="14">
        <v>1</v>
      </c>
      <c r="E3160" s="15">
        <v>126.11</v>
      </c>
      <c r="F3160" s="16" t="s">
        <v>4092</v>
      </c>
      <c r="G3160" s="38" t="str">
        <f>HYPERLINK("http://enext.ua/s4036014")</f>
        <v>http://enext.ua/s4036014</v>
      </c>
    </row>
    <row r="3161" spans="2:7" ht="11.25" outlineLevel="5" x14ac:dyDescent="0.2">
      <c r="B3161" s="14" t="s">
        <v>6027</v>
      </c>
      <c r="C3161" s="14" t="s">
        <v>6028</v>
      </c>
      <c r="D3161" s="14">
        <v>1</v>
      </c>
      <c r="E3161" s="15">
        <v>126.11</v>
      </c>
      <c r="F3161" s="16" t="s">
        <v>4092</v>
      </c>
      <c r="G3161" s="38" t="str">
        <f>HYPERLINK("http://enext.ua/s4036008")</f>
        <v>http://enext.ua/s4036008</v>
      </c>
    </row>
    <row r="3162" spans="2:7" ht="11.25" outlineLevel="5" x14ac:dyDescent="0.2">
      <c r="B3162" s="14" t="s">
        <v>6029</v>
      </c>
      <c r="C3162" s="14" t="s">
        <v>6030</v>
      </c>
      <c r="D3162" s="14">
        <v>1</v>
      </c>
      <c r="E3162" s="15">
        <v>126.11</v>
      </c>
      <c r="F3162" s="16" t="s">
        <v>4092</v>
      </c>
      <c r="G3162" s="38" t="str">
        <f>HYPERLINK("http://enext.ua/s4036009")</f>
        <v>http://enext.ua/s4036009</v>
      </c>
    </row>
    <row r="3163" spans="2:7" ht="11.25" outlineLevel="5" x14ac:dyDescent="0.2">
      <c r="B3163" s="14" t="s">
        <v>6031</v>
      </c>
      <c r="C3163" s="14" t="s">
        <v>6032</v>
      </c>
      <c r="D3163" s="14">
        <v>1</v>
      </c>
      <c r="E3163" s="15">
        <v>206.09</v>
      </c>
      <c r="F3163" s="16" t="s">
        <v>4092</v>
      </c>
      <c r="G3163" s="38" t="str">
        <f>HYPERLINK("http://enext.ua/s4036017")</f>
        <v>http://enext.ua/s4036017</v>
      </c>
    </row>
    <row r="3164" spans="2:7" ht="11.25" outlineLevel="5" x14ac:dyDescent="0.2">
      <c r="B3164" s="14" t="s">
        <v>6033</v>
      </c>
      <c r="C3164" s="14" t="s">
        <v>6034</v>
      </c>
      <c r="D3164" s="14">
        <v>1</v>
      </c>
      <c r="E3164" s="15">
        <v>206.09</v>
      </c>
      <c r="F3164" s="16" t="s">
        <v>4092</v>
      </c>
      <c r="G3164" s="38" t="str">
        <f>HYPERLINK("http://enext.ua/s4036018")</f>
        <v>http://enext.ua/s4036018</v>
      </c>
    </row>
    <row r="3165" spans="2:7" ht="11.25" outlineLevel="5" x14ac:dyDescent="0.2">
      <c r="B3165" s="14" t="s">
        <v>6035</v>
      </c>
      <c r="C3165" s="14" t="s">
        <v>6036</v>
      </c>
      <c r="D3165" s="14">
        <v>1</v>
      </c>
      <c r="E3165" s="15">
        <v>206.09</v>
      </c>
      <c r="F3165" s="16" t="s">
        <v>4092</v>
      </c>
      <c r="G3165" s="38" t="str">
        <f>HYPERLINK("http://enext.ua/s4036019")</f>
        <v>http://enext.ua/s4036019</v>
      </c>
    </row>
    <row r="3166" spans="2:7" ht="11.25" outlineLevel="5" x14ac:dyDescent="0.2">
      <c r="B3166" s="14" t="s">
        <v>6037</v>
      </c>
      <c r="C3166" s="14" t="s">
        <v>6038</v>
      </c>
      <c r="D3166" s="14">
        <v>1</v>
      </c>
      <c r="E3166" s="15">
        <v>206.09</v>
      </c>
      <c r="F3166" s="16" t="s">
        <v>4092</v>
      </c>
      <c r="G3166" s="38" t="str">
        <f>HYPERLINK("http://enext.ua/s4036020")</f>
        <v>http://enext.ua/s4036020</v>
      </c>
    </row>
    <row r="3167" spans="2:7" ht="11.25" outlineLevel="5" x14ac:dyDescent="0.2">
      <c r="B3167" s="14" t="s">
        <v>6039</v>
      </c>
      <c r="C3167" s="14" t="s">
        <v>6040</v>
      </c>
      <c r="D3167" s="14">
        <v>1</v>
      </c>
      <c r="E3167" s="15">
        <v>206.09</v>
      </c>
      <c r="F3167" s="16" t="s">
        <v>4092</v>
      </c>
      <c r="G3167" s="38" t="str">
        <f>HYPERLINK("http://enext.ua/s4036021")</f>
        <v>http://enext.ua/s4036021</v>
      </c>
    </row>
    <row r="3168" spans="2:7" ht="11.25" outlineLevel="5" x14ac:dyDescent="0.2">
      <c r="B3168" s="14" t="s">
        <v>6041</v>
      </c>
      <c r="C3168" s="14" t="s">
        <v>6042</v>
      </c>
      <c r="D3168" s="14">
        <v>1</v>
      </c>
      <c r="E3168" s="15">
        <v>206.09</v>
      </c>
      <c r="F3168" s="16" t="s">
        <v>4092</v>
      </c>
      <c r="G3168" s="38" t="str">
        <f>HYPERLINK("http://enext.ua/s4036015")</f>
        <v>http://enext.ua/s4036015</v>
      </c>
    </row>
    <row r="3169" spans="2:7" ht="11.25" outlineLevel="5" x14ac:dyDescent="0.2">
      <c r="B3169" s="14" t="s">
        <v>6043</v>
      </c>
      <c r="C3169" s="14" t="s">
        <v>6044</v>
      </c>
      <c r="D3169" s="14">
        <v>1</v>
      </c>
      <c r="E3169" s="15">
        <v>206.09</v>
      </c>
      <c r="F3169" s="16" t="s">
        <v>4092</v>
      </c>
      <c r="G3169" s="38" t="str">
        <f>HYPERLINK("http://enext.ua/s4036016")</f>
        <v>http://enext.ua/s4036016</v>
      </c>
    </row>
    <row r="3170" spans="2:7" ht="11.25" outlineLevel="5" x14ac:dyDescent="0.2">
      <c r="B3170" s="14" t="s">
        <v>6045</v>
      </c>
      <c r="C3170" s="14" t="s">
        <v>6046</v>
      </c>
      <c r="D3170" s="14">
        <v>1</v>
      </c>
      <c r="E3170" s="15">
        <v>81.3</v>
      </c>
      <c r="F3170" s="16" t="s">
        <v>4092</v>
      </c>
      <c r="G3170" s="38" t="str">
        <f>HYPERLINK("http://enext.ua/s4036024")</f>
        <v>http://enext.ua/s4036024</v>
      </c>
    </row>
    <row r="3171" spans="2:7" ht="11.25" outlineLevel="5" x14ac:dyDescent="0.2">
      <c r="B3171" s="14" t="s">
        <v>6047</v>
      </c>
      <c r="C3171" s="14" t="s">
        <v>6048</v>
      </c>
      <c r="D3171" s="14">
        <v>1</v>
      </c>
      <c r="E3171" s="15">
        <v>81.3</v>
      </c>
      <c r="F3171" s="16" t="s">
        <v>4092</v>
      </c>
      <c r="G3171" s="38" t="str">
        <f>HYPERLINK("http://enext.ua/s4036025")</f>
        <v>http://enext.ua/s4036025</v>
      </c>
    </row>
    <row r="3172" spans="2:7" ht="11.25" outlineLevel="5" x14ac:dyDescent="0.2">
      <c r="B3172" s="14" t="s">
        <v>6049</v>
      </c>
      <c r="C3172" s="14" t="s">
        <v>6050</v>
      </c>
      <c r="D3172" s="14">
        <v>1</v>
      </c>
      <c r="E3172" s="15">
        <v>81.3</v>
      </c>
      <c r="F3172" s="16" t="s">
        <v>4092</v>
      </c>
      <c r="G3172" s="38" t="str">
        <f>HYPERLINK("http://enext.ua/s4036026")</f>
        <v>http://enext.ua/s4036026</v>
      </c>
    </row>
    <row r="3173" spans="2:7" ht="11.25" outlineLevel="5" x14ac:dyDescent="0.2">
      <c r="B3173" s="14" t="s">
        <v>6051</v>
      </c>
      <c r="C3173" s="14" t="s">
        <v>6052</v>
      </c>
      <c r="D3173" s="14">
        <v>1</v>
      </c>
      <c r="E3173" s="15">
        <v>81.3</v>
      </c>
      <c r="F3173" s="16" t="s">
        <v>4092</v>
      </c>
      <c r="G3173" s="38" t="str">
        <f>HYPERLINK("http://enext.ua/s4036027")</f>
        <v>http://enext.ua/s4036027</v>
      </c>
    </row>
    <row r="3174" spans="2:7" ht="22.5" outlineLevel="5" x14ac:dyDescent="0.2">
      <c r="B3174" s="14" t="s">
        <v>6053</v>
      </c>
      <c r="C3174" s="14" t="s">
        <v>6054</v>
      </c>
      <c r="D3174" s="14">
        <v>1</v>
      </c>
      <c r="E3174" s="15">
        <v>81.3</v>
      </c>
      <c r="F3174" s="16" t="s">
        <v>4092</v>
      </c>
      <c r="G3174" s="38" t="str">
        <f>HYPERLINK("http://enext.ua/s4036028")</f>
        <v>http://enext.ua/s4036028</v>
      </c>
    </row>
    <row r="3175" spans="2:7" ht="11.25" outlineLevel="5" x14ac:dyDescent="0.2">
      <c r="B3175" s="14" t="s">
        <v>6055</v>
      </c>
      <c r="C3175" s="14" t="s">
        <v>6056</v>
      </c>
      <c r="D3175" s="14">
        <v>1</v>
      </c>
      <c r="E3175" s="15">
        <v>81.3</v>
      </c>
      <c r="F3175" s="16" t="s">
        <v>4092</v>
      </c>
      <c r="G3175" s="38" t="str">
        <f>HYPERLINK("http://enext.ua/s4036022")</f>
        <v>http://enext.ua/s4036022</v>
      </c>
    </row>
    <row r="3176" spans="2:7" ht="11.25" outlineLevel="5" x14ac:dyDescent="0.2">
      <c r="B3176" s="14" t="s">
        <v>6057</v>
      </c>
      <c r="C3176" s="14" t="s">
        <v>6058</v>
      </c>
      <c r="D3176" s="14">
        <v>1</v>
      </c>
      <c r="E3176" s="15">
        <v>81.3</v>
      </c>
      <c r="F3176" s="16" t="s">
        <v>4092</v>
      </c>
      <c r="G3176" s="38" t="str">
        <f>HYPERLINK("http://enext.ua/s4036023")</f>
        <v>http://enext.ua/s4036023</v>
      </c>
    </row>
    <row r="3177" spans="2:7" ht="11.25" outlineLevel="5" x14ac:dyDescent="0.2">
      <c r="B3177" s="14" t="s">
        <v>6059</v>
      </c>
      <c r="C3177" s="14" t="s">
        <v>6060</v>
      </c>
      <c r="D3177" s="14">
        <v>1</v>
      </c>
      <c r="E3177" s="15">
        <v>105.31</v>
      </c>
      <c r="F3177" s="16" t="s">
        <v>4092</v>
      </c>
      <c r="G3177" s="38" t="str">
        <f>HYPERLINK("http://enext.ua/s4036031")</f>
        <v>http://enext.ua/s4036031</v>
      </c>
    </row>
    <row r="3178" spans="2:7" ht="11.25" outlineLevel="5" x14ac:dyDescent="0.2">
      <c r="B3178" s="14" t="s">
        <v>6061</v>
      </c>
      <c r="C3178" s="14" t="s">
        <v>6062</v>
      </c>
      <c r="D3178" s="14">
        <v>1</v>
      </c>
      <c r="E3178" s="15">
        <v>105.31</v>
      </c>
      <c r="F3178" s="16" t="s">
        <v>4092</v>
      </c>
      <c r="G3178" s="38" t="str">
        <f>HYPERLINK("http://enext.ua/s4036032")</f>
        <v>http://enext.ua/s4036032</v>
      </c>
    </row>
    <row r="3179" spans="2:7" ht="11.25" outlineLevel="5" x14ac:dyDescent="0.2">
      <c r="B3179" s="14" t="s">
        <v>6063</v>
      </c>
      <c r="C3179" s="14" t="s">
        <v>6064</v>
      </c>
      <c r="D3179" s="14">
        <v>1</v>
      </c>
      <c r="E3179" s="15">
        <v>105.31</v>
      </c>
      <c r="F3179" s="16" t="s">
        <v>4092</v>
      </c>
      <c r="G3179" s="38" t="str">
        <f>HYPERLINK("http://enext.ua/s4036033")</f>
        <v>http://enext.ua/s4036033</v>
      </c>
    </row>
    <row r="3180" spans="2:7" ht="11.25" outlineLevel="5" x14ac:dyDescent="0.2">
      <c r="B3180" s="14" t="s">
        <v>6065</v>
      </c>
      <c r="C3180" s="14" t="s">
        <v>6066</v>
      </c>
      <c r="D3180" s="14">
        <v>1</v>
      </c>
      <c r="E3180" s="15">
        <v>105.31</v>
      </c>
      <c r="F3180" s="16" t="s">
        <v>4092</v>
      </c>
      <c r="G3180" s="38" t="str">
        <f>HYPERLINK("http://enext.ua/s4036034")</f>
        <v>http://enext.ua/s4036034</v>
      </c>
    </row>
    <row r="3181" spans="2:7" ht="22.5" outlineLevel="5" x14ac:dyDescent="0.2">
      <c r="B3181" s="14" t="s">
        <v>6067</v>
      </c>
      <c r="C3181" s="14" t="s">
        <v>6068</v>
      </c>
      <c r="D3181" s="14">
        <v>1</v>
      </c>
      <c r="E3181" s="15">
        <v>105.31</v>
      </c>
      <c r="F3181" s="16" t="s">
        <v>4092</v>
      </c>
      <c r="G3181" s="38" t="str">
        <f>HYPERLINK("http://enext.ua/s4036035")</f>
        <v>http://enext.ua/s4036035</v>
      </c>
    </row>
    <row r="3182" spans="2:7" ht="11.25" outlineLevel="5" x14ac:dyDescent="0.2">
      <c r="B3182" s="14" t="s">
        <v>6069</v>
      </c>
      <c r="C3182" s="14" t="s">
        <v>6070</v>
      </c>
      <c r="D3182" s="14">
        <v>1</v>
      </c>
      <c r="E3182" s="15">
        <v>105.31</v>
      </c>
      <c r="F3182" s="16" t="s">
        <v>4092</v>
      </c>
      <c r="G3182" s="38" t="str">
        <f>HYPERLINK("http://enext.ua/s4036029")</f>
        <v>http://enext.ua/s4036029</v>
      </c>
    </row>
    <row r="3183" spans="2:7" ht="11.25" outlineLevel="5" x14ac:dyDescent="0.2">
      <c r="B3183" s="14" t="s">
        <v>6071</v>
      </c>
      <c r="C3183" s="14" t="s">
        <v>6072</v>
      </c>
      <c r="D3183" s="14">
        <v>1</v>
      </c>
      <c r="E3183" s="15">
        <v>105.31</v>
      </c>
      <c r="F3183" s="16" t="s">
        <v>4092</v>
      </c>
      <c r="G3183" s="38" t="str">
        <f>HYPERLINK("http://enext.ua/s4036030")</f>
        <v>http://enext.ua/s4036030</v>
      </c>
    </row>
    <row r="3184" spans="2:7" ht="11.25" outlineLevel="5" x14ac:dyDescent="0.2">
      <c r="B3184" s="14" t="s">
        <v>6073</v>
      </c>
      <c r="C3184" s="14" t="s">
        <v>6074</v>
      </c>
      <c r="D3184" s="14">
        <v>1</v>
      </c>
      <c r="E3184" s="15">
        <v>144.75</v>
      </c>
      <c r="F3184" s="16" t="s">
        <v>4092</v>
      </c>
      <c r="G3184" s="38" t="str">
        <f>HYPERLINK("http://enext.ua/s4036038")</f>
        <v>http://enext.ua/s4036038</v>
      </c>
    </row>
    <row r="3185" spans="2:7" ht="11.25" outlineLevel="5" x14ac:dyDescent="0.2">
      <c r="B3185" s="14" t="s">
        <v>6075</v>
      </c>
      <c r="C3185" s="14" t="s">
        <v>6076</v>
      </c>
      <c r="D3185" s="14">
        <v>1</v>
      </c>
      <c r="E3185" s="15">
        <v>144.75</v>
      </c>
      <c r="F3185" s="16" t="s">
        <v>4092</v>
      </c>
      <c r="G3185" s="38" t="str">
        <f>HYPERLINK("http://enext.ua/s4036039")</f>
        <v>http://enext.ua/s4036039</v>
      </c>
    </row>
    <row r="3186" spans="2:7" ht="11.25" outlineLevel="5" x14ac:dyDescent="0.2">
      <c r="B3186" s="14" t="s">
        <v>6077</v>
      </c>
      <c r="C3186" s="14" t="s">
        <v>6078</v>
      </c>
      <c r="D3186" s="14">
        <v>1</v>
      </c>
      <c r="E3186" s="15">
        <v>144.75</v>
      </c>
      <c r="F3186" s="16" t="s">
        <v>4092</v>
      </c>
      <c r="G3186" s="38" t="str">
        <f>HYPERLINK("http://enext.ua/s4036040")</f>
        <v>http://enext.ua/s4036040</v>
      </c>
    </row>
    <row r="3187" spans="2:7" ht="11.25" outlineLevel="5" x14ac:dyDescent="0.2">
      <c r="B3187" s="14" t="s">
        <v>6079</v>
      </c>
      <c r="C3187" s="14" t="s">
        <v>6080</v>
      </c>
      <c r="D3187" s="14">
        <v>1</v>
      </c>
      <c r="E3187" s="15">
        <v>144.75</v>
      </c>
      <c r="F3187" s="16" t="s">
        <v>4092</v>
      </c>
      <c r="G3187" s="38" t="str">
        <f>HYPERLINK("http://enext.ua/s4036041")</f>
        <v>http://enext.ua/s4036041</v>
      </c>
    </row>
    <row r="3188" spans="2:7" ht="11.25" outlineLevel="5" x14ac:dyDescent="0.2">
      <c r="B3188" s="14" t="s">
        <v>6081</v>
      </c>
      <c r="C3188" s="14" t="s">
        <v>6082</v>
      </c>
      <c r="D3188" s="14">
        <v>1</v>
      </c>
      <c r="E3188" s="15">
        <v>144.75</v>
      </c>
      <c r="F3188" s="16" t="s">
        <v>4092</v>
      </c>
      <c r="G3188" s="38" t="str">
        <f>HYPERLINK("http://enext.ua/s4036042")</f>
        <v>http://enext.ua/s4036042</v>
      </c>
    </row>
    <row r="3189" spans="2:7" ht="11.25" outlineLevel="5" x14ac:dyDescent="0.2">
      <c r="B3189" s="14" t="s">
        <v>6083</v>
      </c>
      <c r="C3189" s="14" t="s">
        <v>6084</v>
      </c>
      <c r="D3189" s="14">
        <v>1</v>
      </c>
      <c r="E3189" s="15">
        <v>144.75</v>
      </c>
      <c r="F3189" s="16" t="s">
        <v>4092</v>
      </c>
      <c r="G3189" s="38" t="str">
        <f>HYPERLINK("http://enext.ua/s4036036")</f>
        <v>http://enext.ua/s4036036</v>
      </c>
    </row>
    <row r="3190" spans="2:7" ht="11.25" outlineLevel="5" x14ac:dyDescent="0.2">
      <c r="B3190" s="14" t="s">
        <v>6085</v>
      </c>
      <c r="C3190" s="14" t="s">
        <v>6086</v>
      </c>
      <c r="D3190" s="14">
        <v>1</v>
      </c>
      <c r="E3190" s="15">
        <v>144.75</v>
      </c>
      <c r="F3190" s="16" t="s">
        <v>4092</v>
      </c>
      <c r="G3190" s="38" t="str">
        <f>HYPERLINK("http://enext.ua/s4036037")</f>
        <v>http://enext.ua/s4036037</v>
      </c>
    </row>
    <row r="3191" spans="2:7" ht="12" outlineLevel="4" x14ac:dyDescent="0.2">
      <c r="B3191" s="12"/>
      <c r="C3191" s="37" t="s">
        <v>6087</v>
      </c>
      <c r="D3191" s="12"/>
      <c r="E3191" s="13"/>
      <c r="F3191" s="13"/>
      <c r="G3191" s="12"/>
    </row>
    <row r="3192" spans="2:7" ht="22.5" outlineLevel="5" x14ac:dyDescent="0.2">
      <c r="B3192" s="14" t="s">
        <v>6088</v>
      </c>
      <c r="C3192" s="14" t="s">
        <v>6089</v>
      </c>
      <c r="D3192" s="14">
        <v>1</v>
      </c>
      <c r="E3192" s="15">
        <v>59.2</v>
      </c>
      <c r="F3192" s="16" t="s">
        <v>4092</v>
      </c>
      <c r="G3192" s="38" t="str">
        <f>HYPERLINK("http://enext.ua/s4037002")</f>
        <v>http://enext.ua/s4037002</v>
      </c>
    </row>
    <row r="3193" spans="2:7" ht="22.5" outlineLevel="5" x14ac:dyDescent="0.2">
      <c r="B3193" s="14" t="s">
        <v>6090</v>
      </c>
      <c r="C3193" s="14" t="s">
        <v>6091</v>
      </c>
      <c r="D3193" s="14">
        <v>1</v>
      </c>
      <c r="E3193" s="15">
        <v>59.2</v>
      </c>
      <c r="F3193" s="16" t="s">
        <v>4092</v>
      </c>
      <c r="G3193" s="38" t="str">
        <f>HYPERLINK("http://enext.ua/s4037001")</f>
        <v>http://enext.ua/s4037001</v>
      </c>
    </row>
    <row r="3194" spans="2:7" ht="22.5" outlineLevel="5" x14ac:dyDescent="0.2">
      <c r="B3194" s="14" t="s">
        <v>6092</v>
      </c>
      <c r="C3194" s="14" t="s">
        <v>6093</v>
      </c>
      <c r="D3194" s="14">
        <v>1</v>
      </c>
      <c r="E3194" s="15">
        <v>49.57</v>
      </c>
      <c r="F3194" s="16" t="s">
        <v>4092</v>
      </c>
      <c r="G3194" s="38" t="str">
        <f>HYPERLINK("http://enext.ua/s4037000")</f>
        <v>http://enext.ua/s4037000</v>
      </c>
    </row>
    <row r="3195" spans="2:7" ht="11.25" outlineLevel="5" x14ac:dyDescent="0.2">
      <c r="B3195" s="14" t="s">
        <v>6094</v>
      </c>
      <c r="C3195" s="14" t="s">
        <v>6095</v>
      </c>
      <c r="D3195" s="14">
        <v>1</v>
      </c>
      <c r="E3195" s="15">
        <v>67.41</v>
      </c>
      <c r="F3195" s="16" t="s">
        <v>4092</v>
      </c>
      <c r="G3195" s="38" t="str">
        <f>HYPERLINK("http://enext.ua/s4037004")</f>
        <v>http://enext.ua/s4037004</v>
      </c>
    </row>
    <row r="3196" spans="2:7" ht="11.25" outlineLevel="5" x14ac:dyDescent="0.2">
      <c r="B3196" s="14" t="s">
        <v>6096</v>
      </c>
      <c r="C3196" s="14" t="s">
        <v>6097</v>
      </c>
      <c r="D3196" s="14">
        <v>1</v>
      </c>
      <c r="E3196" s="15">
        <v>60.9</v>
      </c>
      <c r="F3196" s="16" t="s">
        <v>4092</v>
      </c>
      <c r="G3196" s="38" t="str">
        <f>HYPERLINK("http://enext.ua/s4037003")</f>
        <v>http://enext.ua/s4037003</v>
      </c>
    </row>
    <row r="3197" spans="2:7" ht="22.5" outlineLevel="5" x14ac:dyDescent="0.2">
      <c r="B3197" s="14" t="s">
        <v>6098</v>
      </c>
      <c r="C3197" s="14" t="s">
        <v>6099</v>
      </c>
      <c r="D3197" s="14">
        <v>1</v>
      </c>
      <c r="E3197" s="15">
        <v>75.63</v>
      </c>
      <c r="F3197" s="16" t="s">
        <v>4092</v>
      </c>
      <c r="G3197" s="38" t="str">
        <f>HYPERLINK("http://enext.ua/s4037006")</f>
        <v>http://enext.ua/s4037006</v>
      </c>
    </row>
    <row r="3198" spans="2:7" ht="22.5" outlineLevel="5" x14ac:dyDescent="0.2">
      <c r="B3198" s="14" t="s">
        <v>6100</v>
      </c>
      <c r="C3198" s="14" t="s">
        <v>6101</v>
      </c>
      <c r="D3198" s="14">
        <v>1</v>
      </c>
      <c r="E3198" s="15">
        <v>75.63</v>
      </c>
      <c r="F3198" s="16" t="s">
        <v>4092</v>
      </c>
      <c r="G3198" s="38" t="str">
        <f>HYPERLINK("http://enext.ua/s4037005")</f>
        <v>http://enext.ua/s4037005</v>
      </c>
    </row>
    <row r="3199" spans="2:7" ht="11.25" outlineLevel="5" x14ac:dyDescent="0.2">
      <c r="B3199" s="14" t="s">
        <v>6102</v>
      </c>
      <c r="C3199" s="14" t="s">
        <v>6103</v>
      </c>
      <c r="D3199" s="14">
        <v>1</v>
      </c>
      <c r="E3199" s="15">
        <v>118.97</v>
      </c>
      <c r="F3199" s="16" t="s">
        <v>4092</v>
      </c>
      <c r="G3199" s="38" t="str">
        <f>HYPERLINK("http://enext.ua/s4037008")</f>
        <v>http://enext.ua/s4037008</v>
      </c>
    </row>
    <row r="3200" spans="2:7" ht="22.5" outlineLevel="5" x14ac:dyDescent="0.2">
      <c r="B3200" s="14" t="s">
        <v>6104</v>
      </c>
      <c r="C3200" s="14" t="s">
        <v>6105</v>
      </c>
      <c r="D3200" s="14">
        <v>1</v>
      </c>
      <c r="E3200" s="15">
        <v>105.66</v>
      </c>
      <c r="F3200" s="16" t="s">
        <v>4092</v>
      </c>
      <c r="G3200" s="38" t="str">
        <f>HYPERLINK("http://enext.ua/s4037007")</f>
        <v>http://enext.ua/s4037007</v>
      </c>
    </row>
    <row r="3201" spans="2:7" ht="22.5" outlineLevel="5" x14ac:dyDescent="0.2">
      <c r="B3201" s="14" t="s">
        <v>6106</v>
      </c>
      <c r="C3201" s="14" t="s">
        <v>6107</v>
      </c>
      <c r="D3201" s="14">
        <v>1</v>
      </c>
      <c r="E3201" s="15">
        <v>135.38999999999999</v>
      </c>
      <c r="F3201" s="16" t="s">
        <v>4092</v>
      </c>
      <c r="G3201" s="38" t="str">
        <f>HYPERLINK("http://enext.ua/s4037009")</f>
        <v>http://enext.ua/s4037009</v>
      </c>
    </row>
    <row r="3202" spans="2:7" ht="11.25" outlineLevel="5" x14ac:dyDescent="0.2">
      <c r="B3202" s="14" t="s">
        <v>6108</v>
      </c>
      <c r="C3202" s="14" t="s">
        <v>6109</v>
      </c>
      <c r="D3202" s="14">
        <v>1</v>
      </c>
      <c r="E3202" s="15">
        <v>164.85</v>
      </c>
      <c r="F3202" s="16" t="s">
        <v>4092</v>
      </c>
      <c r="G3202" s="38" t="str">
        <f>HYPERLINK("http://enext.ua/s4037010")</f>
        <v>http://enext.ua/s4037010</v>
      </c>
    </row>
    <row r="3203" spans="2:7" ht="22.5" outlineLevel="5" x14ac:dyDescent="0.2">
      <c r="B3203" s="14" t="s">
        <v>6110</v>
      </c>
      <c r="C3203" s="14" t="s">
        <v>6111</v>
      </c>
      <c r="D3203" s="14">
        <v>1</v>
      </c>
      <c r="E3203" s="15">
        <v>215.27</v>
      </c>
      <c r="F3203" s="16" t="s">
        <v>4092</v>
      </c>
      <c r="G3203" s="38" t="str">
        <f>HYPERLINK("http://enext.ua/s4037011")</f>
        <v>http://enext.ua/s4037011</v>
      </c>
    </row>
    <row r="3204" spans="2:7" ht="11.25" outlineLevel="5" x14ac:dyDescent="0.2">
      <c r="B3204" s="14" t="s">
        <v>6112</v>
      </c>
      <c r="C3204" s="14" t="s">
        <v>6113</v>
      </c>
      <c r="D3204" s="14">
        <v>1</v>
      </c>
      <c r="E3204" s="15">
        <v>295.14999999999998</v>
      </c>
      <c r="F3204" s="16" t="s">
        <v>4092</v>
      </c>
      <c r="G3204" s="38" t="str">
        <f>HYPERLINK("http://enext.ua/s4037012")</f>
        <v>http://enext.ua/s4037012</v>
      </c>
    </row>
    <row r="3205" spans="2:7" ht="12" outlineLevel="4" x14ac:dyDescent="0.2">
      <c r="B3205" s="12"/>
      <c r="C3205" s="37" t="s">
        <v>6114</v>
      </c>
      <c r="D3205" s="12"/>
      <c r="E3205" s="13"/>
      <c r="F3205" s="13"/>
      <c r="G3205" s="12"/>
    </row>
    <row r="3206" spans="2:7" ht="11.25" outlineLevel="5" x14ac:dyDescent="0.2">
      <c r="B3206" s="14" t="s">
        <v>6115</v>
      </c>
      <c r="C3206" s="14" t="s">
        <v>6116</v>
      </c>
      <c r="D3206" s="14">
        <v>1</v>
      </c>
      <c r="E3206" s="15">
        <v>19.55</v>
      </c>
      <c r="F3206" s="16" t="s">
        <v>4092</v>
      </c>
      <c r="G3206" s="38" t="str">
        <f>HYPERLINK("http://enext.ua/s4038000")</f>
        <v>http://enext.ua/s4038000</v>
      </c>
    </row>
    <row r="3207" spans="2:7" ht="11.25" outlineLevel="5" x14ac:dyDescent="0.2">
      <c r="B3207" s="14" t="s">
        <v>6117</v>
      </c>
      <c r="C3207" s="14" t="s">
        <v>6118</v>
      </c>
      <c r="D3207" s="14">
        <v>1</v>
      </c>
      <c r="E3207" s="15">
        <v>20.12</v>
      </c>
      <c r="F3207" s="16" t="s">
        <v>4092</v>
      </c>
      <c r="G3207" s="38" t="str">
        <f>HYPERLINK("http://enext.ua/s4038001")</f>
        <v>http://enext.ua/s4038001</v>
      </c>
    </row>
    <row r="3208" spans="2:7" ht="11.25" outlineLevel="5" x14ac:dyDescent="0.2">
      <c r="B3208" s="14" t="s">
        <v>6119</v>
      </c>
      <c r="C3208" s="14" t="s">
        <v>6120</v>
      </c>
      <c r="D3208" s="14">
        <v>1</v>
      </c>
      <c r="E3208" s="15">
        <v>20.68</v>
      </c>
      <c r="F3208" s="16" t="s">
        <v>4092</v>
      </c>
      <c r="G3208" s="38" t="str">
        <f>HYPERLINK("http://enext.ua/s4038002")</f>
        <v>http://enext.ua/s4038002</v>
      </c>
    </row>
    <row r="3209" spans="2:7" ht="11.25" outlineLevel="5" x14ac:dyDescent="0.2">
      <c r="B3209" s="14" t="s">
        <v>6121</v>
      </c>
      <c r="C3209" s="14" t="s">
        <v>6122</v>
      </c>
      <c r="D3209" s="14">
        <v>1</v>
      </c>
      <c r="E3209" s="15">
        <v>25.78</v>
      </c>
      <c r="F3209" s="16" t="s">
        <v>4092</v>
      </c>
      <c r="G3209" s="38" t="str">
        <f>HYPERLINK("http://enext.ua/s4038003")</f>
        <v>http://enext.ua/s4038003</v>
      </c>
    </row>
    <row r="3210" spans="2:7" ht="11.25" outlineLevel="5" x14ac:dyDescent="0.2">
      <c r="B3210" s="14" t="s">
        <v>6123</v>
      </c>
      <c r="C3210" s="14" t="s">
        <v>6124</v>
      </c>
      <c r="D3210" s="14">
        <v>1</v>
      </c>
      <c r="E3210" s="15">
        <v>22.09</v>
      </c>
      <c r="F3210" s="16" t="s">
        <v>4092</v>
      </c>
      <c r="G3210" s="38" t="str">
        <f>HYPERLINK("http://enext.ua/s4038004")</f>
        <v>http://enext.ua/s4038004</v>
      </c>
    </row>
    <row r="3211" spans="2:7" ht="11.25" outlineLevel="5" x14ac:dyDescent="0.2">
      <c r="B3211" s="14" t="s">
        <v>6125</v>
      </c>
      <c r="C3211" s="14" t="s">
        <v>6126</v>
      </c>
      <c r="D3211" s="14">
        <v>1</v>
      </c>
      <c r="E3211" s="15">
        <v>28.33</v>
      </c>
      <c r="F3211" s="16" t="s">
        <v>4092</v>
      </c>
      <c r="G3211" s="38" t="str">
        <f>HYPERLINK("http://enext.ua/s4038005")</f>
        <v>http://enext.ua/s4038005</v>
      </c>
    </row>
    <row r="3212" spans="2:7" ht="11.25" outlineLevel="5" x14ac:dyDescent="0.2">
      <c r="B3212" s="14" t="s">
        <v>6127</v>
      </c>
      <c r="C3212" s="14" t="s">
        <v>6128</v>
      </c>
      <c r="D3212" s="14">
        <v>1</v>
      </c>
      <c r="E3212" s="15">
        <v>25.78</v>
      </c>
      <c r="F3212" s="16" t="s">
        <v>4092</v>
      </c>
      <c r="G3212" s="38" t="str">
        <f>HYPERLINK("http://enext.ua/s4038006")</f>
        <v>http://enext.ua/s4038006</v>
      </c>
    </row>
    <row r="3213" spans="2:7" ht="11.25" outlineLevel="5" x14ac:dyDescent="0.2">
      <c r="B3213" s="14" t="s">
        <v>6129</v>
      </c>
      <c r="C3213" s="14" t="s">
        <v>6130</v>
      </c>
      <c r="D3213" s="14">
        <v>1</v>
      </c>
      <c r="E3213" s="15">
        <v>37.11</v>
      </c>
      <c r="F3213" s="16" t="s">
        <v>4092</v>
      </c>
      <c r="G3213" s="38" t="str">
        <f>HYPERLINK("http://enext.ua/s4038007")</f>
        <v>http://enext.ua/s4038007</v>
      </c>
    </row>
    <row r="3214" spans="2:7" ht="11.25" outlineLevel="5" x14ac:dyDescent="0.2">
      <c r="B3214" s="14" t="s">
        <v>6131</v>
      </c>
      <c r="C3214" s="14" t="s">
        <v>6132</v>
      </c>
      <c r="D3214" s="14">
        <v>1</v>
      </c>
      <c r="E3214" s="15">
        <v>37.68</v>
      </c>
      <c r="F3214" s="16" t="s">
        <v>4092</v>
      </c>
      <c r="G3214" s="38" t="str">
        <f>HYPERLINK("http://enext.ua/s4038008")</f>
        <v>http://enext.ua/s4038008</v>
      </c>
    </row>
    <row r="3215" spans="2:7" ht="11.25" outlineLevel="5" x14ac:dyDescent="0.2">
      <c r="B3215" s="14" t="s">
        <v>6133</v>
      </c>
      <c r="C3215" s="14" t="s">
        <v>6134</v>
      </c>
      <c r="D3215" s="14">
        <v>1</v>
      </c>
      <c r="E3215" s="15">
        <v>44.19</v>
      </c>
      <c r="F3215" s="16" t="s">
        <v>4092</v>
      </c>
      <c r="G3215" s="38" t="str">
        <f>HYPERLINK("http://enext.ua/s4038009")</f>
        <v>http://enext.ua/s4038009</v>
      </c>
    </row>
    <row r="3216" spans="2:7" ht="11.25" outlineLevel="5" x14ac:dyDescent="0.2">
      <c r="B3216" s="14" t="s">
        <v>6135</v>
      </c>
      <c r="C3216" s="14" t="s">
        <v>6136</v>
      </c>
      <c r="D3216" s="14">
        <v>1</v>
      </c>
      <c r="E3216" s="15">
        <v>55.52</v>
      </c>
      <c r="F3216" s="16" t="s">
        <v>4092</v>
      </c>
      <c r="G3216" s="38" t="str">
        <f>HYPERLINK("http://enext.ua/s4038010")</f>
        <v>http://enext.ua/s4038010</v>
      </c>
    </row>
    <row r="3217" spans="2:7" ht="11.25" outlineLevel="5" x14ac:dyDescent="0.2">
      <c r="B3217" s="14" t="s">
        <v>6137</v>
      </c>
      <c r="C3217" s="14" t="s">
        <v>6138</v>
      </c>
      <c r="D3217" s="14">
        <v>1</v>
      </c>
      <c r="E3217" s="15">
        <v>61.75</v>
      </c>
      <c r="F3217" s="16" t="s">
        <v>4092</v>
      </c>
      <c r="G3217" s="38" t="str">
        <f>HYPERLINK("http://enext.ua/s4038011")</f>
        <v>http://enext.ua/s4038011</v>
      </c>
    </row>
    <row r="3218" spans="2:7" ht="11.25" outlineLevel="5" x14ac:dyDescent="0.2">
      <c r="B3218" s="14" t="s">
        <v>6139</v>
      </c>
      <c r="C3218" s="14" t="s">
        <v>6140</v>
      </c>
      <c r="D3218" s="14">
        <v>1</v>
      </c>
      <c r="E3218" s="15">
        <v>88.1</v>
      </c>
      <c r="F3218" s="16" t="s">
        <v>4092</v>
      </c>
      <c r="G3218" s="38" t="str">
        <f>HYPERLINK("http://enext.ua/s4038012")</f>
        <v>http://enext.ua/s4038012</v>
      </c>
    </row>
    <row r="3219" spans="2:7" ht="11.25" outlineLevel="5" x14ac:dyDescent="0.2">
      <c r="B3219" s="14" t="s">
        <v>6141</v>
      </c>
      <c r="C3219" s="14" t="s">
        <v>6142</v>
      </c>
      <c r="D3219" s="14">
        <v>1</v>
      </c>
      <c r="E3219" s="15">
        <v>95.17</v>
      </c>
      <c r="F3219" s="16" t="s">
        <v>4092</v>
      </c>
      <c r="G3219" s="38" t="str">
        <f>HYPERLINK("http://enext.ua/s4038013")</f>
        <v>http://enext.ua/s4038013</v>
      </c>
    </row>
    <row r="3220" spans="2:7" ht="11.25" outlineLevel="5" x14ac:dyDescent="0.2">
      <c r="B3220" s="14" t="s">
        <v>6143</v>
      </c>
      <c r="C3220" s="14" t="s">
        <v>6144</v>
      </c>
      <c r="D3220" s="14">
        <v>1</v>
      </c>
      <c r="E3220" s="15">
        <v>95.17</v>
      </c>
      <c r="F3220" s="16" t="s">
        <v>4092</v>
      </c>
      <c r="G3220" s="38" t="str">
        <f>HYPERLINK("http://enext.ua/s4038014")</f>
        <v>http://enext.ua/s4038014</v>
      </c>
    </row>
    <row r="3221" spans="2:7" ht="11.25" outlineLevel="5" x14ac:dyDescent="0.2">
      <c r="B3221" s="14" t="s">
        <v>6145</v>
      </c>
      <c r="C3221" s="14" t="s">
        <v>6146</v>
      </c>
      <c r="D3221" s="14">
        <v>1</v>
      </c>
      <c r="E3221" s="15">
        <v>151.54</v>
      </c>
      <c r="F3221" s="16" t="s">
        <v>4092</v>
      </c>
      <c r="G3221" s="38" t="str">
        <f>HYPERLINK("http://enext.ua/s4038015")</f>
        <v>http://enext.ua/s4038015</v>
      </c>
    </row>
    <row r="3222" spans="2:7" ht="11.25" outlineLevel="5" x14ac:dyDescent="0.2">
      <c r="B3222" s="14" t="s">
        <v>6147</v>
      </c>
      <c r="C3222" s="14" t="s">
        <v>6148</v>
      </c>
      <c r="D3222" s="14">
        <v>1</v>
      </c>
      <c r="E3222" s="15">
        <v>154.38</v>
      </c>
      <c r="F3222" s="16" t="s">
        <v>4092</v>
      </c>
      <c r="G3222" s="38" t="str">
        <f>HYPERLINK("http://enext.ua/s4038016")</f>
        <v>http://enext.ua/s4038016</v>
      </c>
    </row>
    <row r="3223" spans="2:7" ht="11.25" outlineLevel="5" x14ac:dyDescent="0.2">
      <c r="B3223" s="14" t="s">
        <v>6149</v>
      </c>
      <c r="C3223" s="14" t="s">
        <v>6150</v>
      </c>
      <c r="D3223" s="14">
        <v>1</v>
      </c>
      <c r="E3223" s="15">
        <v>208.19</v>
      </c>
      <c r="F3223" s="16" t="s">
        <v>4092</v>
      </c>
      <c r="G3223" s="38" t="str">
        <f>HYPERLINK("http://enext.ua/s4038017")</f>
        <v>http://enext.ua/s4038017</v>
      </c>
    </row>
    <row r="3224" spans="2:7" ht="11.25" outlineLevel="5" x14ac:dyDescent="0.2">
      <c r="B3224" s="14" t="s">
        <v>6151</v>
      </c>
      <c r="C3224" s="14" t="s">
        <v>6152</v>
      </c>
      <c r="D3224" s="14">
        <v>1</v>
      </c>
      <c r="E3224" s="15">
        <v>166.27</v>
      </c>
      <c r="F3224" s="16" t="s">
        <v>4092</v>
      </c>
      <c r="G3224" s="38" t="str">
        <f>HYPERLINK("http://enext.ua/s4038018")</f>
        <v>http://enext.ua/s4038018</v>
      </c>
    </row>
    <row r="3225" spans="2:7" ht="11.25" outlineLevel="5" x14ac:dyDescent="0.2">
      <c r="B3225" s="14" t="s">
        <v>6153</v>
      </c>
      <c r="C3225" s="14" t="s">
        <v>6154</v>
      </c>
      <c r="D3225" s="14">
        <v>1</v>
      </c>
      <c r="E3225" s="15">
        <v>255.49</v>
      </c>
      <c r="F3225" s="16" t="s">
        <v>4092</v>
      </c>
      <c r="G3225" s="38" t="str">
        <f>HYPERLINK("http://enext.ua/s4038019")</f>
        <v>http://enext.ua/s4038019</v>
      </c>
    </row>
    <row r="3226" spans="2:7" ht="11.25" outlineLevel="5" x14ac:dyDescent="0.2">
      <c r="B3226" s="14" t="s">
        <v>6155</v>
      </c>
      <c r="C3226" s="14" t="s">
        <v>6156</v>
      </c>
      <c r="D3226" s="14">
        <v>1</v>
      </c>
      <c r="E3226" s="15">
        <v>377.01</v>
      </c>
      <c r="F3226" s="16" t="s">
        <v>4092</v>
      </c>
      <c r="G3226" s="38" t="str">
        <f>HYPERLINK("http://enext.ua/s4038020")</f>
        <v>http://enext.ua/s4038020</v>
      </c>
    </row>
    <row r="3227" spans="2:7" ht="12" outlineLevel="4" x14ac:dyDescent="0.2">
      <c r="B3227" s="12"/>
      <c r="C3227" s="37" t="s">
        <v>6157</v>
      </c>
      <c r="D3227" s="12"/>
      <c r="E3227" s="13"/>
      <c r="F3227" s="13"/>
      <c r="G3227" s="12"/>
    </row>
    <row r="3228" spans="2:7" ht="22.5" outlineLevel="5" x14ac:dyDescent="0.2">
      <c r="B3228" s="14" t="s">
        <v>6158</v>
      </c>
      <c r="C3228" s="14" t="s">
        <v>6159</v>
      </c>
      <c r="D3228" s="14">
        <v>1</v>
      </c>
      <c r="E3228" s="15">
        <v>227.64</v>
      </c>
      <c r="F3228" s="16" t="s">
        <v>4092</v>
      </c>
      <c r="G3228" s="38" t="str">
        <f>HYPERLINK("http://enext.ua/s4039000")</f>
        <v>http://enext.ua/s4039000</v>
      </c>
    </row>
    <row r="3229" spans="2:7" ht="22.5" outlineLevel="5" x14ac:dyDescent="0.2">
      <c r="B3229" s="14" t="s">
        <v>6160</v>
      </c>
      <c r="C3229" s="14" t="s">
        <v>6161</v>
      </c>
      <c r="D3229" s="14">
        <v>1</v>
      </c>
      <c r="E3229" s="15">
        <v>227.53</v>
      </c>
      <c r="F3229" s="16" t="s">
        <v>4092</v>
      </c>
      <c r="G3229" s="38" t="str">
        <f>HYPERLINK("http://enext.ua/s4039001")</f>
        <v>http://enext.ua/s4039001</v>
      </c>
    </row>
    <row r="3230" spans="2:7" ht="22.5" outlineLevel="5" x14ac:dyDescent="0.2">
      <c r="B3230" s="14" t="s">
        <v>6162</v>
      </c>
      <c r="C3230" s="14" t="s">
        <v>6163</v>
      </c>
      <c r="D3230" s="14">
        <v>1</v>
      </c>
      <c r="E3230" s="15">
        <v>309.87</v>
      </c>
      <c r="F3230" s="16" t="s">
        <v>4092</v>
      </c>
      <c r="G3230" s="38" t="str">
        <f>HYPERLINK("http://enext.ua/s4039002")</f>
        <v>http://enext.ua/s4039002</v>
      </c>
    </row>
    <row r="3231" spans="2:7" ht="22.5" outlineLevel="5" x14ac:dyDescent="0.2">
      <c r="B3231" s="14" t="s">
        <v>6164</v>
      </c>
      <c r="C3231" s="14" t="s">
        <v>6165</v>
      </c>
      <c r="D3231" s="14">
        <v>1</v>
      </c>
      <c r="E3231" s="15">
        <v>241.78</v>
      </c>
      <c r="F3231" s="16" t="s">
        <v>4092</v>
      </c>
      <c r="G3231" s="38" t="str">
        <f>HYPERLINK("http://enext.ua/s4039003")</f>
        <v>http://enext.ua/s4039003</v>
      </c>
    </row>
    <row r="3232" spans="2:7" ht="22.5" outlineLevel="5" x14ac:dyDescent="0.2">
      <c r="B3232" s="14" t="s">
        <v>6166</v>
      </c>
      <c r="C3232" s="14" t="s">
        <v>6167</v>
      </c>
      <c r="D3232" s="14">
        <v>1</v>
      </c>
      <c r="E3232" s="15">
        <v>241.35</v>
      </c>
      <c r="F3232" s="16" t="s">
        <v>4092</v>
      </c>
      <c r="G3232" s="38" t="str">
        <f>HYPERLINK("http://enext.ua/s4039004")</f>
        <v>http://enext.ua/s4039004</v>
      </c>
    </row>
    <row r="3233" spans="2:7" ht="22.5" outlineLevel="5" x14ac:dyDescent="0.2">
      <c r="B3233" s="14" t="s">
        <v>6168</v>
      </c>
      <c r="C3233" s="14" t="s">
        <v>6169</v>
      </c>
      <c r="D3233" s="14">
        <v>1</v>
      </c>
      <c r="E3233" s="15">
        <v>309.70999999999998</v>
      </c>
      <c r="F3233" s="16" t="s">
        <v>4092</v>
      </c>
      <c r="G3233" s="38" t="str">
        <f>HYPERLINK("http://enext.ua/s4039005")</f>
        <v>http://enext.ua/s4039005</v>
      </c>
    </row>
    <row r="3234" spans="2:7" ht="12" outlineLevel="4" x14ac:dyDescent="0.2">
      <c r="B3234" s="12"/>
      <c r="C3234" s="37" t="s">
        <v>6170</v>
      </c>
      <c r="D3234" s="12"/>
      <c r="E3234" s="13"/>
      <c r="F3234" s="13"/>
      <c r="G3234" s="12"/>
    </row>
    <row r="3235" spans="2:7" ht="11.25" outlineLevel="5" x14ac:dyDescent="0.2">
      <c r="B3235" s="14" t="s">
        <v>6171</v>
      </c>
      <c r="C3235" s="14" t="s">
        <v>6172</v>
      </c>
      <c r="D3235" s="14">
        <v>1</v>
      </c>
      <c r="E3235" s="15">
        <v>115.85</v>
      </c>
      <c r="F3235" s="16" t="s">
        <v>4092</v>
      </c>
      <c r="G3235" s="38" t="str">
        <f>HYPERLINK("http://enext.ua/s4040003")</f>
        <v>http://enext.ua/s4040003</v>
      </c>
    </row>
    <row r="3236" spans="2:7" ht="11.25" outlineLevel="5" x14ac:dyDescent="0.2">
      <c r="B3236" s="14" t="s">
        <v>6173</v>
      </c>
      <c r="C3236" s="14" t="s">
        <v>6174</v>
      </c>
      <c r="D3236" s="14">
        <v>1</v>
      </c>
      <c r="E3236" s="15">
        <v>125.76</v>
      </c>
      <c r="F3236" s="16" t="s">
        <v>4092</v>
      </c>
      <c r="G3236" s="38" t="str">
        <f>HYPERLINK("http://enext.ua/s4040004")</f>
        <v>http://enext.ua/s4040004</v>
      </c>
    </row>
    <row r="3237" spans="2:7" ht="11.25" outlineLevel="5" x14ac:dyDescent="0.2">
      <c r="B3237" s="14" t="s">
        <v>6175</v>
      </c>
      <c r="C3237" s="14" t="s">
        <v>6176</v>
      </c>
      <c r="D3237" s="14">
        <v>1</v>
      </c>
      <c r="E3237" s="15">
        <v>160.04</v>
      </c>
      <c r="F3237" s="16" t="s">
        <v>4092</v>
      </c>
      <c r="G3237" s="38" t="str">
        <f>HYPERLINK("http://enext.ua/s4040005")</f>
        <v>http://enext.ua/s4040005</v>
      </c>
    </row>
    <row r="3238" spans="2:7" ht="11.25" outlineLevel="5" x14ac:dyDescent="0.2">
      <c r="B3238" s="14" t="s">
        <v>6177</v>
      </c>
      <c r="C3238" s="14" t="s">
        <v>6178</v>
      </c>
      <c r="D3238" s="14">
        <v>1</v>
      </c>
      <c r="E3238" s="15">
        <v>81.3</v>
      </c>
      <c r="F3238" s="16" t="s">
        <v>4092</v>
      </c>
      <c r="G3238" s="38" t="str">
        <f>HYPERLINK("http://enext.ua/s4040000")</f>
        <v>http://enext.ua/s4040000</v>
      </c>
    </row>
    <row r="3239" spans="2:7" ht="11.25" outlineLevel="5" x14ac:dyDescent="0.2">
      <c r="B3239" s="14" t="s">
        <v>6179</v>
      </c>
      <c r="C3239" s="14" t="s">
        <v>6180</v>
      </c>
      <c r="D3239" s="14">
        <v>1</v>
      </c>
      <c r="E3239" s="15">
        <v>90.07</v>
      </c>
      <c r="F3239" s="16" t="s">
        <v>4092</v>
      </c>
      <c r="G3239" s="38" t="str">
        <f>HYPERLINK("http://enext.ua/s4040001")</f>
        <v>http://enext.ua/s4040001</v>
      </c>
    </row>
    <row r="3240" spans="2:7" ht="11.25" outlineLevel="5" x14ac:dyDescent="0.2">
      <c r="B3240" s="14" t="s">
        <v>6181</v>
      </c>
      <c r="C3240" s="14" t="s">
        <v>6182</v>
      </c>
      <c r="D3240" s="14">
        <v>1</v>
      </c>
      <c r="E3240" s="15">
        <v>97.44</v>
      </c>
      <c r="F3240" s="16" t="s">
        <v>4092</v>
      </c>
      <c r="G3240" s="38" t="str">
        <f>HYPERLINK("http://enext.ua/s4040002")</f>
        <v>http://enext.ua/s4040002</v>
      </c>
    </row>
    <row r="3241" spans="2:7" ht="12" outlineLevel="4" x14ac:dyDescent="0.2">
      <c r="B3241" s="12"/>
      <c r="C3241" s="37" t="s">
        <v>6183</v>
      </c>
      <c r="D3241" s="12"/>
      <c r="E3241" s="13"/>
      <c r="F3241" s="13"/>
      <c r="G3241" s="12"/>
    </row>
    <row r="3242" spans="2:7" ht="11.25" outlineLevel="5" x14ac:dyDescent="0.2">
      <c r="B3242" s="14" t="s">
        <v>6184</v>
      </c>
      <c r="C3242" s="14" t="s">
        <v>6185</v>
      </c>
      <c r="D3242" s="14">
        <v>1</v>
      </c>
      <c r="E3242" s="15">
        <v>70.58</v>
      </c>
      <c r="F3242" s="16" t="s">
        <v>4092</v>
      </c>
      <c r="G3242" s="38" t="str">
        <f>HYPERLINK("http://enext.ua/s4041005")</f>
        <v>http://enext.ua/s4041005</v>
      </c>
    </row>
    <row r="3243" spans="2:7" ht="11.25" outlineLevel="5" x14ac:dyDescent="0.2">
      <c r="B3243" s="14" t="s">
        <v>6186</v>
      </c>
      <c r="C3243" s="14" t="s">
        <v>6187</v>
      </c>
      <c r="D3243" s="14">
        <v>1</v>
      </c>
      <c r="E3243" s="15">
        <v>78.180000000000007</v>
      </c>
      <c r="F3243" s="16" t="s">
        <v>4092</v>
      </c>
      <c r="G3243" s="38" t="str">
        <f>HYPERLINK("http://enext.ua/s4041006")</f>
        <v>http://enext.ua/s4041006</v>
      </c>
    </row>
    <row r="3244" spans="2:7" ht="11.25" outlineLevel="5" x14ac:dyDescent="0.2">
      <c r="B3244" s="14" t="s">
        <v>6188</v>
      </c>
      <c r="C3244" s="14" t="s">
        <v>6189</v>
      </c>
      <c r="D3244" s="14">
        <v>1</v>
      </c>
      <c r="E3244" s="15">
        <v>78.180000000000007</v>
      </c>
      <c r="F3244" s="16" t="s">
        <v>4092</v>
      </c>
      <c r="G3244" s="38" t="str">
        <f>HYPERLINK("http://enext.ua/s4041007")</f>
        <v>http://enext.ua/s4041007</v>
      </c>
    </row>
    <row r="3245" spans="2:7" ht="11.25" outlineLevel="5" x14ac:dyDescent="0.2">
      <c r="B3245" s="14" t="s">
        <v>6190</v>
      </c>
      <c r="C3245" s="14" t="s">
        <v>6191</v>
      </c>
      <c r="D3245" s="14">
        <v>1</v>
      </c>
      <c r="E3245" s="15">
        <v>87.53</v>
      </c>
      <c r="F3245" s="16" t="s">
        <v>4092</v>
      </c>
      <c r="G3245" s="38" t="str">
        <f>HYPERLINK("http://enext.ua/s4041008")</f>
        <v>http://enext.ua/s4041008</v>
      </c>
    </row>
    <row r="3246" spans="2:7" ht="11.25" outlineLevel="5" x14ac:dyDescent="0.2">
      <c r="B3246" s="14" t="s">
        <v>6192</v>
      </c>
      <c r="C3246" s="14" t="s">
        <v>6193</v>
      </c>
      <c r="D3246" s="14">
        <v>1</v>
      </c>
      <c r="E3246" s="15">
        <v>111.89</v>
      </c>
      <c r="F3246" s="16" t="s">
        <v>4092</v>
      </c>
      <c r="G3246" s="38" t="str">
        <f>HYPERLINK("http://enext.ua/s4041009")</f>
        <v>http://enext.ua/s4041009</v>
      </c>
    </row>
    <row r="3247" spans="2:7" ht="11.25" outlineLevel="5" x14ac:dyDescent="0.2">
      <c r="B3247" s="14" t="s">
        <v>6194</v>
      </c>
      <c r="C3247" s="14" t="s">
        <v>6195</v>
      </c>
      <c r="D3247" s="14">
        <v>1</v>
      </c>
      <c r="E3247" s="15">
        <v>66.69</v>
      </c>
      <c r="F3247" s="16" t="s">
        <v>4092</v>
      </c>
      <c r="G3247" s="38" t="str">
        <f>HYPERLINK("http://enext.ua/s4041000")</f>
        <v>http://enext.ua/s4041000</v>
      </c>
    </row>
    <row r="3248" spans="2:7" ht="11.25" outlineLevel="5" x14ac:dyDescent="0.2">
      <c r="B3248" s="14" t="s">
        <v>6196</v>
      </c>
      <c r="C3248" s="14" t="s">
        <v>6197</v>
      </c>
      <c r="D3248" s="14">
        <v>1</v>
      </c>
      <c r="E3248" s="15">
        <v>78.739999999999995</v>
      </c>
      <c r="F3248" s="16" t="s">
        <v>4092</v>
      </c>
      <c r="G3248" s="38" t="str">
        <f>HYPERLINK("http://enext.ua/s4041001")</f>
        <v>http://enext.ua/s4041001</v>
      </c>
    </row>
    <row r="3249" spans="2:7" ht="11.25" outlineLevel="5" x14ac:dyDescent="0.2">
      <c r="B3249" s="14" t="s">
        <v>6198</v>
      </c>
      <c r="C3249" s="14" t="s">
        <v>6199</v>
      </c>
      <c r="D3249" s="14">
        <v>1</v>
      </c>
      <c r="E3249" s="15">
        <v>81.3</v>
      </c>
      <c r="F3249" s="16" t="s">
        <v>4092</v>
      </c>
      <c r="G3249" s="38" t="str">
        <f>HYPERLINK("http://enext.ua/s4041002")</f>
        <v>http://enext.ua/s4041002</v>
      </c>
    </row>
    <row r="3250" spans="2:7" ht="11.25" outlineLevel="5" x14ac:dyDescent="0.2">
      <c r="B3250" s="14" t="s">
        <v>6200</v>
      </c>
      <c r="C3250" s="14" t="s">
        <v>6201</v>
      </c>
      <c r="D3250" s="14">
        <v>1</v>
      </c>
      <c r="E3250" s="15">
        <v>86.11</v>
      </c>
      <c r="F3250" s="16" t="s">
        <v>4092</v>
      </c>
      <c r="G3250" s="38" t="str">
        <f>HYPERLINK("http://enext.ua/s4041003")</f>
        <v>http://enext.ua/s4041003</v>
      </c>
    </row>
    <row r="3251" spans="2:7" ht="11.25" outlineLevel="5" x14ac:dyDescent="0.2">
      <c r="B3251" s="14" t="s">
        <v>6202</v>
      </c>
      <c r="C3251" s="14" t="s">
        <v>6203</v>
      </c>
      <c r="D3251" s="14">
        <v>1</v>
      </c>
      <c r="E3251" s="15">
        <v>108.77</v>
      </c>
      <c r="F3251" s="16" t="s">
        <v>4092</v>
      </c>
      <c r="G3251" s="38" t="str">
        <f>HYPERLINK("http://enext.ua/s4041004")</f>
        <v>http://enext.ua/s4041004</v>
      </c>
    </row>
    <row r="3252" spans="2:7" ht="12" outlineLevel="3" x14ac:dyDescent="0.2">
      <c r="B3252" s="10"/>
      <c r="C3252" s="36" t="s">
        <v>6204</v>
      </c>
      <c r="D3252" s="10"/>
      <c r="E3252" s="11"/>
      <c r="F3252" s="11"/>
      <c r="G3252" s="10"/>
    </row>
    <row r="3253" spans="2:7" ht="11.25" outlineLevel="4" x14ac:dyDescent="0.2">
      <c r="B3253" s="14" t="s">
        <v>6205</v>
      </c>
      <c r="C3253" s="14" t="s">
        <v>6206</v>
      </c>
      <c r="D3253" s="14">
        <v>200</v>
      </c>
      <c r="E3253" s="15">
        <v>7.09</v>
      </c>
      <c r="F3253" s="16" t="s">
        <v>8</v>
      </c>
      <c r="G3253" s="38" t="str">
        <f>HYPERLINK("http://enext.ua/s4042000")</f>
        <v>http://enext.ua/s4042000</v>
      </c>
    </row>
    <row r="3254" spans="2:7" ht="11.25" outlineLevel="4" x14ac:dyDescent="0.2">
      <c r="B3254" s="14" t="s">
        <v>6207</v>
      </c>
      <c r="C3254" s="14" t="s">
        <v>6208</v>
      </c>
      <c r="D3254" s="14">
        <v>80</v>
      </c>
      <c r="E3254" s="15">
        <v>8.8800000000000008</v>
      </c>
      <c r="F3254" s="16" t="s">
        <v>8</v>
      </c>
      <c r="G3254" s="38" t="str">
        <f>HYPERLINK("http://enext.ua/s4042001")</f>
        <v>http://enext.ua/s4042001</v>
      </c>
    </row>
    <row r="3255" spans="2:7" ht="11.25" outlineLevel="4" x14ac:dyDescent="0.2">
      <c r="B3255" s="14" t="s">
        <v>6209</v>
      </c>
      <c r="C3255" s="14" t="s">
        <v>6210</v>
      </c>
      <c r="D3255" s="14">
        <v>20</v>
      </c>
      <c r="E3255" s="15">
        <v>13.24</v>
      </c>
      <c r="F3255" s="16" t="s">
        <v>8</v>
      </c>
      <c r="G3255" s="38" t="str">
        <f>HYPERLINK("http://enext.ua/s4042002")</f>
        <v>http://enext.ua/s4042002</v>
      </c>
    </row>
    <row r="3256" spans="2:7" ht="11.25" outlineLevel="4" x14ac:dyDescent="0.2">
      <c r="B3256" s="14" t="s">
        <v>6211</v>
      </c>
      <c r="C3256" s="14" t="s">
        <v>6212</v>
      </c>
      <c r="D3256" s="14">
        <v>10</v>
      </c>
      <c r="E3256" s="15">
        <v>17.22</v>
      </c>
      <c r="F3256" s="16" t="s">
        <v>8</v>
      </c>
      <c r="G3256" s="38" t="str">
        <f>HYPERLINK("http://enext.ua/s4042003")</f>
        <v>http://enext.ua/s4042003</v>
      </c>
    </row>
    <row r="3257" spans="2:7" ht="11.25" outlineLevel="4" x14ac:dyDescent="0.2">
      <c r="B3257" s="14" t="s">
        <v>6213</v>
      </c>
      <c r="C3257" s="14" t="s">
        <v>6214</v>
      </c>
      <c r="D3257" s="14">
        <v>40</v>
      </c>
      <c r="E3257" s="15">
        <v>20.95</v>
      </c>
      <c r="F3257" s="16" t="s">
        <v>8</v>
      </c>
      <c r="G3257" s="38" t="str">
        <f>HYPERLINK("http://enext.ua/s4042004")</f>
        <v>http://enext.ua/s4042004</v>
      </c>
    </row>
    <row r="3258" spans="2:7" ht="11.25" outlineLevel="4" x14ac:dyDescent="0.2">
      <c r="B3258" s="14" t="s">
        <v>6215</v>
      </c>
      <c r="C3258" s="14" t="s">
        <v>6216</v>
      </c>
      <c r="D3258" s="14">
        <v>1</v>
      </c>
      <c r="E3258" s="15">
        <v>26.35</v>
      </c>
      <c r="F3258" s="16" t="s">
        <v>8</v>
      </c>
      <c r="G3258" s="38" t="str">
        <f>HYPERLINK("http://enext.ua/s4042005")</f>
        <v>http://enext.ua/s4042005</v>
      </c>
    </row>
    <row r="3259" spans="2:7" ht="11.25" outlineLevel="4" x14ac:dyDescent="0.2">
      <c r="B3259" s="14" t="s">
        <v>6217</v>
      </c>
      <c r="C3259" s="14" t="s">
        <v>6218</v>
      </c>
      <c r="D3259" s="14">
        <v>1</v>
      </c>
      <c r="E3259" s="15">
        <v>39.659999999999997</v>
      </c>
      <c r="F3259" s="16" t="s">
        <v>8</v>
      </c>
      <c r="G3259" s="38" t="str">
        <f>HYPERLINK("http://enext.ua/s4042006")</f>
        <v>http://enext.ua/s4042006</v>
      </c>
    </row>
    <row r="3260" spans="2:7" ht="11.25" outlineLevel="4" x14ac:dyDescent="0.2">
      <c r="B3260" s="14" t="s">
        <v>6219</v>
      </c>
      <c r="C3260" s="14" t="s">
        <v>6220</v>
      </c>
      <c r="D3260" s="14">
        <v>20</v>
      </c>
      <c r="E3260" s="15">
        <v>50.42</v>
      </c>
      <c r="F3260" s="16" t="s">
        <v>8</v>
      </c>
      <c r="G3260" s="38" t="str">
        <f>HYPERLINK("http://enext.ua/s4042007")</f>
        <v>http://enext.ua/s4042007</v>
      </c>
    </row>
    <row r="3261" spans="2:7" ht="11.25" outlineLevel="4" x14ac:dyDescent="0.2">
      <c r="B3261" s="14" t="s">
        <v>6221</v>
      </c>
      <c r="C3261" s="14" t="s">
        <v>6222</v>
      </c>
      <c r="D3261" s="14">
        <v>1</v>
      </c>
      <c r="E3261" s="15">
        <v>54.67</v>
      </c>
      <c r="F3261" s="16" t="s">
        <v>8</v>
      </c>
      <c r="G3261" s="38" t="str">
        <f>HYPERLINK("http://enext.ua/s4042008")</f>
        <v>http://enext.ua/s4042008</v>
      </c>
    </row>
    <row r="3262" spans="2:7" ht="11.25" outlineLevel="4" x14ac:dyDescent="0.2">
      <c r="B3262" s="14" t="s">
        <v>6223</v>
      </c>
      <c r="C3262" s="14" t="s">
        <v>6224</v>
      </c>
      <c r="D3262" s="14">
        <v>1</v>
      </c>
      <c r="E3262" s="15">
        <v>69.11</v>
      </c>
      <c r="F3262" s="16" t="s">
        <v>8</v>
      </c>
      <c r="G3262" s="38" t="str">
        <f>HYPERLINK("http://enext.ua/s4042009")</f>
        <v>http://enext.ua/s4042009</v>
      </c>
    </row>
    <row r="3263" spans="2:7" ht="12" outlineLevel="3" x14ac:dyDescent="0.2">
      <c r="B3263" s="10"/>
      <c r="C3263" s="36" t="s">
        <v>6225</v>
      </c>
      <c r="D3263" s="10"/>
      <c r="E3263" s="11"/>
      <c r="F3263" s="11"/>
      <c r="G3263" s="10"/>
    </row>
    <row r="3264" spans="2:7" ht="12" outlineLevel="4" x14ac:dyDescent="0.2">
      <c r="B3264" s="12"/>
      <c r="C3264" s="37" t="s">
        <v>6226</v>
      </c>
      <c r="D3264" s="12"/>
      <c r="E3264" s="13"/>
      <c r="F3264" s="13"/>
      <c r="G3264" s="12"/>
    </row>
    <row r="3265" spans="2:7" ht="11.25" outlineLevel="5" x14ac:dyDescent="0.2">
      <c r="B3265" s="14" t="s">
        <v>6227</v>
      </c>
      <c r="C3265" s="14" t="s">
        <v>6228</v>
      </c>
      <c r="D3265" s="14">
        <v>1</v>
      </c>
      <c r="E3265" s="15">
        <v>38.96</v>
      </c>
      <c r="F3265" s="16" t="s">
        <v>4092</v>
      </c>
      <c r="G3265" s="14"/>
    </row>
    <row r="3266" spans="2:7" ht="11.25" outlineLevel="5" x14ac:dyDescent="0.2">
      <c r="B3266" s="14" t="s">
        <v>6229</v>
      </c>
      <c r="C3266" s="14" t="s">
        <v>6230</v>
      </c>
      <c r="D3266" s="14">
        <v>1</v>
      </c>
      <c r="E3266" s="15">
        <v>38.96</v>
      </c>
      <c r="F3266" s="16" t="s">
        <v>4092</v>
      </c>
      <c r="G3266" s="14"/>
    </row>
    <row r="3267" spans="2:7" ht="11.25" outlineLevel="5" x14ac:dyDescent="0.2">
      <c r="B3267" s="14" t="s">
        <v>6231</v>
      </c>
      <c r="C3267" s="14" t="s">
        <v>6232</v>
      </c>
      <c r="D3267" s="14">
        <v>1</v>
      </c>
      <c r="E3267" s="15">
        <v>47.18</v>
      </c>
      <c r="F3267" s="16" t="s">
        <v>4092</v>
      </c>
      <c r="G3267" s="14"/>
    </row>
    <row r="3268" spans="2:7" ht="11.25" outlineLevel="5" x14ac:dyDescent="0.2">
      <c r="B3268" s="14" t="s">
        <v>6233</v>
      </c>
      <c r="C3268" s="14" t="s">
        <v>6234</v>
      </c>
      <c r="D3268" s="14">
        <v>1</v>
      </c>
      <c r="E3268" s="15">
        <v>59.73</v>
      </c>
      <c r="F3268" s="16" t="s">
        <v>4092</v>
      </c>
      <c r="G3268" s="14"/>
    </row>
    <row r="3269" spans="2:7" ht="12" outlineLevel="4" x14ac:dyDescent="0.2">
      <c r="B3269" s="12"/>
      <c r="C3269" s="37" t="s">
        <v>6235</v>
      </c>
      <c r="D3269" s="12"/>
      <c r="E3269" s="13"/>
      <c r="F3269" s="13"/>
      <c r="G3269" s="12"/>
    </row>
    <row r="3270" spans="2:7" ht="11.25" outlineLevel="5" x14ac:dyDescent="0.2">
      <c r="B3270" s="14" t="s">
        <v>6236</v>
      </c>
      <c r="C3270" s="14" t="s">
        <v>6237</v>
      </c>
      <c r="D3270" s="14">
        <v>1</v>
      </c>
      <c r="E3270" s="15">
        <v>15.43</v>
      </c>
      <c r="F3270" s="16" t="s">
        <v>4092</v>
      </c>
      <c r="G3270" s="14"/>
    </row>
    <row r="3271" spans="2:7" ht="11.25" outlineLevel="5" x14ac:dyDescent="0.2">
      <c r="B3271" s="14" t="s">
        <v>6238</v>
      </c>
      <c r="C3271" s="14" t="s">
        <v>6239</v>
      </c>
      <c r="D3271" s="14">
        <v>1</v>
      </c>
      <c r="E3271" s="15">
        <v>19.78</v>
      </c>
      <c r="F3271" s="16" t="s">
        <v>4092</v>
      </c>
      <c r="G3271" s="14"/>
    </row>
    <row r="3272" spans="2:7" ht="11.25" outlineLevel="5" x14ac:dyDescent="0.2">
      <c r="B3272" s="14" t="s">
        <v>6240</v>
      </c>
      <c r="C3272" s="14" t="s">
        <v>6241</v>
      </c>
      <c r="D3272" s="14">
        <v>1</v>
      </c>
      <c r="E3272" s="15">
        <v>18.88</v>
      </c>
      <c r="F3272" s="16" t="s">
        <v>4092</v>
      </c>
      <c r="G3272" s="14"/>
    </row>
    <row r="3273" spans="2:7" ht="11.25" outlineLevel="5" x14ac:dyDescent="0.2">
      <c r="B3273" s="14" t="s">
        <v>6242</v>
      </c>
      <c r="C3273" s="14" t="s">
        <v>6243</v>
      </c>
      <c r="D3273" s="14">
        <v>1</v>
      </c>
      <c r="E3273" s="15">
        <v>19.78</v>
      </c>
      <c r="F3273" s="16" t="s">
        <v>4092</v>
      </c>
      <c r="G3273" s="14"/>
    </row>
    <row r="3274" spans="2:7" ht="11.25" outlineLevel="5" x14ac:dyDescent="0.2">
      <c r="B3274" s="14" t="s">
        <v>6244</v>
      </c>
      <c r="C3274" s="14" t="s">
        <v>6245</v>
      </c>
      <c r="D3274" s="14">
        <v>1</v>
      </c>
      <c r="E3274" s="15">
        <v>22.46</v>
      </c>
      <c r="F3274" s="16" t="s">
        <v>4092</v>
      </c>
      <c r="G3274" s="14"/>
    </row>
    <row r="3275" spans="2:7" ht="11.25" outlineLevel="5" x14ac:dyDescent="0.2">
      <c r="B3275" s="14" t="s">
        <v>6246</v>
      </c>
      <c r="C3275" s="14" t="s">
        <v>6247</v>
      </c>
      <c r="D3275" s="14">
        <v>1</v>
      </c>
      <c r="E3275" s="15">
        <v>30.63</v>
      </c>
      <c r="F3275" s="16" t="s">
        <v>4092</v>
      </c>
      <c r="G3275" s="14"/>
    </row>
    <row r="3276" spans="2:7" ht="11.25" outlineLevel="5" x14ac:dyDescent="0.2">
      <c r="B3276" s="14" t="s">
        <v>6248</v>
      </c>
      <c r="C3276" s="14" t="s">
        <v>6249</v>
      </c>
      <c r="D3276" s="14">
        <v>1</v>
      </c>
      <c r="E3276" s="15">
        <v>43.23</v>
      </c>
      <c r="F3276" s="16" t="s">
        <v>4092</v>
      </c>
      <c r="G3276" s="14"/>
    </row>
    <row r="3277" spans="2:7" ht="11.25" outlineLevel="5" x14ac:dyDescent="0.2">
      <c r="B3277" s="14" t="s">
        <v>6250</v>
      </c>
      <c r="C3277" s="14" t="s">
        <v>6251</v>
      </c>
      <c r="D3277" s="14">
        <v>1</v>
      </c>
      <c r="E3277" s="15">
        <v>58.55</v>
      </c>
      <c r="F3277" s="16" t="s">
        <v>4092</v>
      </c>
      <c r="G3277" s="14"/>
    </row>
    <row r="3278" spans="2:7" ht="11.25" outlineLevel="5" x14ac:dyDescent="0.2">
      <c r="B3278" s="14" t="s">
        <v>6252</v>
      </c>
      <c r="C3278" s="14" t="s">
        <v>6253</v>
      </c>
      <c r="D3278" s="14">
        <v>1</v>
      </c>
      <c r="E3278" s="15">
        <v>102.35</v>
      </c>
      <c r="F3278" s="16" t="s">
        <v>4092</v>
      </c>
      <c r="G3278" s="14"/>
    </row>
    <row r="3279" spans="2:7" ht="11.25" outlineLevel="5" x14ac:dyDescent="0.2">
      <c r="B3279" s="14" t="s">
        <v>6254</v>
      </c>
      <c r="C3279" s="14" t="s">
        <v>6255</v>
      </c>
      <c r="D3279" s="14">
        <v>1</v>
      </c>
      <c r="E3279" s="15">
        <v>165</v>
      </c>
      <c r="F3279" s="16" t="s">
        <v>4092</v>
      </c>
      <c r="G3279" s="14"/>
    </row>
    <row r="3280" spans="2:7" ht="12" outlineLevel="4" x14ac:dyDescent="0.2">
      <c r="B3280" s="12"/>
      <c r="C3280" s="37" t="s">
        <v>6256</v>
      </c>
      <c r="D3280" s="12"/>
      <c r="E3280" s="13"/>
      <c r="F3280" s="13"/>
      <c r="G3280" s="12"/>
    </row>
    <row r="3281" spans="2:7" ht="11.25" outlineLevel="5" x14ac:dyDescent="0.2">
      <c r="B3281" s="14" t="s">
        <v>6257</v>
      </c>
      <c r="C3281" s="14" t="s">
        <v>6258</v>
      </c>
      <c r="D3281" s="14">
        <v>1</v>
      </c>
      <c r="E3281" s="15">
        <v>16.739999999999998</v>
      </c>
      <c r="F3281" s="16" t="s">
        <v>4092</v>
      </c>
      <c r="G3281" s="14"/>
    </row>
    <row r="3282" spans="2:7" ht="11.25" outlineLevel="5" x14ac:dyDescent="0.2">
      <c r="B3282" s="14" t="s">
        <v>6259</v>
      </c>
      <c r="C3282" s="14" t="s">
        <v>6260</v>
      </c>
      <c r="D3282" s="14">
        <v>1</v>
      </c>
      <c r="E3282" s="15">
        <v>18.420000000000002</v>
      </c>
      <c r="F3282" s="16" t="s">
        <v>4092</v>
      </c>
      <c r="G3282" s="14"/>
    </row>
    <row r="3283" spans="2:7" ht="11.25" outlineLevel="5" x14ac:dyDescent="0.2">
      <c r="B3283" s="14" t="s">
        <v>6261</v>
      </c>
      <c r="C3283" s="14" t="s">
        <v>6262</v>
      </c>
      <c r="D3283" s="14">
        <v>1</v>
      </c>
      <c r="E3283" s="15">
        <v>18.78</v>
      </c>
      <c r="F3283" s="16" t="s">
        <v>4092</v>
      </c>
      <c r="G3283" s="14"/>
    </row>
    <row r="3284" spans="2:7" ht="11.25" outlineLevel="5" x14ac:dyDescent="0.2">
      <c r="B3284" s="14" t="s">
        <v>6263</v>
      </c>
      <c r="C3284" s="14" t="s">
        <v>6264</v>
      </c>
      <c r="D3284" s="14">
        <v>1</v>
      </c>
      <c r="E3284" s="15">
        <v>19.68</v>
      </c>
      <c r="F3284" s="16" t="s">
        <v>4092</v>
      </c>
      <c r="G3284" s="14"/>
    </row>
    <row r="3285" spans="2:7" ht="11.25" outlineLevel="5" x14ac:dyDescent="0.2">
      <c r="B3285" s="14" t="s">
        <v>6265</v>
      </c>
      <c r="C3285" s="14" t="s">
        <v>6266</v>
      </c>
      <c r="D3285" s="14">
        <v>1</v>
      </c>
      <c r="E3285" s="15">
        <v>22.36</v>
      </c>
      <c r="F3285" s="16" t="s">
        <v>4092</v>
      </c>
      <c r="G3285" s="14"/>
    </row>
    <row r="3286" spans="2:7" ht="11.25" outlineLevel="5" x14ac:dyDescent="0.2">
      <c r="B3286" s="14" t="s">
        <v>6267</v>
      </c>
      <c r="C3286" s="14" t="s">
        <v>6268</v>
      </c>
      <c r="D3286" s="14">
        <v>1</v>
      </c>
      <c r="E3286" s="15">
        <v>34.700000000000003</v>
      </c>
      <c r="F3286" s="16" t="s">
        <v>4092</v>
      </c>
      <c r="G3286" s="14"/>
    </row>
    <row r="3287" spans="2:7" ht="11.25" outlineLevel="5" x14ac:dyDescent="0.2">
      <c r="B3287" s="14" t="s">
        <v>6269</v>
      </c>
      <c r="C3287" s="14" t="s">
        <v>6270</v>
      </c>
      <c r="D3287" s="14">
        <v>1</v>
      </c>
      <c r="E3287" s="15">
        <v>43.13</v>
      </c>
      <c r="F3287" s="16" t="s">
        <v>4092</v>
      </c>
      <c r="G3287" s="14"/>
    </row>
    <row r="3288" spans="2:7" ht="11.25" outlineLevel="5" x14ac:dyDescent="0.2">
      <c r="B3288" s="14" t="s">
        <v>6271</v>
      </c>
      <c r="C3288" s="14" t="s">
        <v>6272</v>
      </c>
      <c r="D3288" s="14">
        <v>1</v>
      </c>
      <c r="E3288" s="15">
        <v>63.89</v>
      </c>
      <c r="F3288" s="16" t="s">
        <v>4092</v>
      </c>
      <c r="G3288" s="14"/>
    </row>
    <row r="3289" spans="2:7" ht="11.25" outlineLevel="5" x14ac:dyDescent="0.2">
      <c r="B3289" s="14" t="s">
        <v>6273</v>
      </c>
      <c r="C3289" s="14" t="s">
        <v>6274</v>
      </c>
      <c r="D3289" s="14">
        <v>1</v>
      </c>
      <c r="E3289" s="15">
        <v>96.12</v>
      </c>
      <c r="F3289" s="16" t="s">
        <v>4092</v>
      </c>
      <c r="G3289" s="14"/>
    </row>
    <row r="3290" spans="2:7" ht="11.25" outlineLevel="5" x14ac:dyDescent="0.2">
      <c r="B3290" s="14" t="s">
        <v>6275</v>
      </c>
      <c r="C3290" s="14" t="s">
        <v>6276</v>
      </c>
      <c r="D3290" s="14">
        <v>1</v>
      </c>
      <c r="E3290" s="15">
        <v>116.06</v>
      </c>
      <c r="F3290" s="16" t="s">
        <v>4092</v>
      </c>
      <c r="G3290" s="14"/>
    </row>
    <row r="3291" spans="2:7" ht="12" outlineLevel="4" x14ac:dyDescent="0.2">
      <c r="B3291" s="12"/>
      <c r="C3291" s="37" t="s">
        <v>6277</v>
      </c>
      <c r="D3291" s="12"/>
      <c r="E3291" s="13"/>
      <c r="F3291" s="13"/>
      <c r="G3291" s="12"/>
    </row>
    <row r="3292" spans="2:7" ht="11.25" outlineLevel="5" x14ac:dyDescent="0.2">
      <c r="B3292" s="14" t="s">
        <v>6278</v>
      </c>
      <c r="C3292" s="14" t="s">
        <v>6279</v>
      </c>
      <c r="D3292" s="14">
        <v>1</v>
      </c>
      <c r="E3292" s="15">
        <v>20.98</v>
      </c>
      <c r="F3292" s="16" t="s">
        <v>4092</v>
      </c>
      <c r="G3292" s="14"/>
    </row>
    <row r="3293" spans="2:7" ht="11.25" outlineLevel="5" x14ac:dyDescent="0.2">
      <c r="B3293" s="14" t="s">
        <v>6280</v>
      </c>
      <c r="C3293" s="14" t="s">
        <v>6281</v>
      </c>
      <c r="D3293" s="14">
        <v>1</v>
      </c>
      <c r="E3293" s="15">
        <v>31.91</v>
      </c>
      <c r="F3293" s="16" t="s">
        <v>4092</v>
      </c>
      <c r="G3293" s="14"/>
    </row>
    <row r="3294" spans="2:7" ht="11.25" outlineLevel="5" x14ac:dyDescent="0.2">
      <c r="B3294" s="14" t="s">
        <v>6282</v>
      </c>
      <c r="C3294" s="14" t="s">
        <v>6283</v>
      </c>
      <c r="D3294" s="14">
        <v>1</v>
      </c>
      <c r="E3294" s="15">
        <v>43.5</v>
      </c>
      <c r="F3294" s="16" t="s">
        <v>4092</v>
      </c>
      <c r="G3294" s="14"/>
    </row>
    <row r="3295" spans="2:7" ht="12" outlineLevel="2" x14ac:dyDescent="0.2">
      <c r="B3295" s="8"/>
      <c r="C3295" s="35" t="s">
        <v>6284</v>
      </c>
      <c r="D3295" s="8"/>
      <c r="E3295" s="9"/>
      <c r="F3295" s="9"/>
      <c r="G3295" s="8"/>
    </row>
    <row r="3296" spans="2:7" ht="12" outlineLevel="3" x14ac:dyDescent="0.2">
      <c r="B3296" s="10"/>
      <c r="C3296" s="36" t="s">
        <v>6285</v>
      </c>
      <c r="D3296" s="10"/>
      <c r="E3296" s="11"/>
      <c r="F3296" s="11"/>
      <c r="G3296" s="10"/>
    </row>
    <row r="3297" spans="2:7" ht="11.25" outlineLevel="4" x14ac:dyDescent="0.2">
      <c r="B3297" s="14" t="s">
        <v>6286</v>
      </c>
      <c r="C3297" s="14" t="s">
        <v>6287</v>
      </c>
      <c r="D3297" s="14">
        <v>10</v>
      </c>
      <c r="E3297" s="15">
        <v>10.46</v>
      </c>
      <c r="F3297" s="16" t="s">
        <v>8</v>
      </c>
      <c r="G3297" s="38" t="str">
        <f>HYPERLINK("http://enext.ua/s022006")</f>
        <v>http://enext.ua/s022006</v>
      </c>
    </row>
    <row r="3298" spans="2:7" ht="11.25" outlineLevel="4" x14ac:dyDescent="0.2">
      <c r="B3298" s="14" t="s">
        <v>6288</v>
      </c>
      <c r="C3298" s="14" t="s">
        <v>6289</v>
      </c>
      <c r="D3298" s="14">
        <v>10</v>
      </c>
      <c r="E3298" s="15">
        <v>10.46</v>
      </c>
      <c r="F3298" s="16" t="s">
        <v>8</v>
      </c>
      <c r="G3298" s="38" t="str">
        <f>HYPERLINK("http://enext.ua/s022005")</f>
        <v>http://enext.ua/s022005</v>
      </c>
    </row>
    <row r="3299" spans="2:7" ht="11.25" outlineLevel="4" x14ac:dyDescent="0.2">
      <c r="B3299" s="14" t="s">
        <v>6290</v>
      </c>
      <c r="C3299" s="14" t="s">
        <v>6291</v>
      </c>
      <c r="D3299" s="14">
        <v>10</v>
      </c>
      <c r="E3299" s="15">
        <v>10.46</v>
      </c>
      <c r="F3299" s="16" t="s">
        <v>8</v>
      </c>
      <c r="G3299" s="38" t="str">
        <f>HYPERLINK("http://enext.ua/s022003")</f>
        <v>http://enext.ua/s022003</v>
      </c>
    </row>
    <row r="3300" spans="2:7" ht="11.25" outlineLevel="4" x14ac:dyDescent="0.2">
      <c r="B3300" s="14" t="s">
        <v>6292</v>
      </c>
      <c r="C3300" s="14" t="s">
        <v>6293</v>
      </c>
      <c r="D3300" s="14">
        <v>10</v>
      </c>
      <c r="E3300" s="15">
        <v>10.46</v>
      </c>
      <c r="F3300" s="16" t="s">
        <v>8</v>
      </c>
      <c r="G3300" s="38" t="str">
        <f>HYPERLINK("http://enext.ua/s022001")</f>
        <v>http://enext.ua/s022001</v>
      </c>
    </row>
    <row r="3301" spans="2:7" ht="11.25" outlineLevel="4" x14ac:dyDescent="0.2">
      <c r="B3301" s="14" t="s">
        <v>6294</v>
      </c>
      <c r="C3301" s="14" t="s">
        <v>6295</v>
      </c>
      <c r="D3301" s="14">
        <v>10</v>
      </c>
      <c r="E3301" s="15">
        <v>10.46</v>
      </c>
      <c r="F3301" s="16" t="s">
        <v>8</v>
      </c>
      <c r="G3301" s="38" t="str">
        <f>HYPERLINK("http://enext.ua/s022004")</f>
        <v>http://enext.ua/s022004</v>
      </c>
    </row>
    <row r="3302" spans="2:7" ht="11.25" outlineLevel="4" x14ac:dyDescent="0.2">
      <c r="B3302" s="14" t="s">
        <v>6296</v>
      </c>
      <c r="C3302" s="14" t="s">
        <v>6297</v>
      </c>
      <c r="D3302" s="14">
        <v>10</v>
      </c>
      <c r="E3302" s="15">
        <v>10.46</v>
      </c>
      <c r="F3302" s="16" t="s">
        <v>8</v>
      </c>
      <c r="G3302" s="38" t="str">
        <f>HYPERLINK("http://enext.ua/s022002")</f>
        <v>http://enext.ua/s022002</v>
      </c>
    </row>
    <row r="3303" spans="2:7" ht="11.25" outlineLevel="4" x14ac:dyDescent="0.2">
      <c r="B3303" s="14" t="s">
        <v>6298</v>
      </c>
      <c r="C3303" s="14" t="s">
        <v>6299</v>
      </c>
      <c r="D3303" s="14">
        <v>10</v>
      </c>
      <c r="E3303" s="15">
        <v>12.2</v>
      </c>
      <c r="F3303" s="16" t="s">
        <v>8</v>
      </c>
      <c r="G3303" s="38" t="str">
        <f>HYPERLINK("http://enext.ua/s022007")</f>
        <v>http://enext.ua/s022007</v>
      </c>
    </row>
    <row r="3304" spans="2:7" ht="11.25" outlineLevel="4" x14ac:dyDescent="0.2">
      <c r="B3304" s="14" t="s">
        <v>6300</v>
      </c>
      <c r="C3304" s="14" t="s">
        <v>6301</v>
      </c>
      <c r="D3304" s="14">
        <v>10</v>
      </c>
      <c r="E3304" s="15">
        <v>19.73</v>
      </c>
      <c r="F3304" s="16" t="s">
        <v>8</v>
      </c>
      <c r="G3304" s="38" t="str">
        <f>HYPERLINK("http://enext.ua/s022016")</f>
        <v>http://enext.ua/s022016</v>
      </c>
    </row>
    <row r="3305" spans="2:7" ht="11.25" outlineLevel="4" x14ac:dyDescent="0.2">
      <c r="B3305" s="14" t="s">
        <v>6302</v>
      </c>
      <c r="C3305" s="14" t="s">
        <v>6303</v>
      </c>
      <c r="D3305" s="14">
        <v>10</v>
      </c>
      <c r="E3305" s="15">
        <v>19.73</v>
      </c>
      <c r="F3305" s="16" t="s">
        <v>8</v>
      </c>
      <c r="G3305" s="38" t="str">
        <f>HYPERLINK("http://enext.ua/s022015")</f>
        <v>http://enext.ua/s022015</v>
      </c>
    </row>
    <row r="3306" spans="2:7" ht="11.25" outlineLevel="4" x14ac:dyDescent="0.2">
      <c r="B3306" s="14" t="s">
        <v>6304</v>
      </c>
      <c r="C3306" s="14" t="s">
        <v>6305</v>
      </c>
      <c r="D3306" s="14">
        <v>10</v>
      </c>
      <c r="E3306" s="15">
        <v>19.73</v>
      </c>
      <c r="F3306" s="16" t="s">
        <v>8</v>
      </c>
      <c r="G3306" s="38" t="str">
        <f>HYPERLINK("http://enext.ua/s022013")</f>
        <v>http://enext.ua/s022013</v>
      </c>
    </row>
    <row r="3307" spans="2:7" ht="11.25" outlineLevel="4" x14ac:dyDescent="0.2">
      <c r="B3307" s="14" t="s">
        <v>6306</v>
      </c>
      <c r="C3307" s="14" t="s">
        <v>6307</v>
      </c>
      <c r="D3307" s="14">
        <v>10</v>
      </c>
      <c r="E3307" s="15">
        <v>19.73</v>
      </c>
      <c r="F3307" s="16" t="s">
        <v>8</v>
      </c>
      <c r="G3307" s="38" t="str">
        <f>HYPERLINK("http://enext.ua/s022011")</f>
        <v>http://enext.ua/s022011</v>
      </c>
    </row>
    <row r="3308" spans="2:7" ht="11.25" outlineLevel="4" x14ac:dyDescent="0.2">
      <c r="B3308" s="14" t="s">
        <v>6308</v>
      </c>
      <c r="C3308" s="14" t="s">
        <v>6309</v>
      </c>
      <c r="D3308" s="14">
        <v>10</v>
      </c>
      <c r="E3308" s="15">
        <v>19.73</v>
      </c>
      <c r="F3308" s="16" t="s">
        <v>8</v>
      </c>
      <c r="G3308" s="38" t="str">
        <f>HYPERLINK("http://enext.ua/s022014")</f>
        <v>http://enext.ua/s022014</v>
      </c>
    </row>
    <row r="3309" spans="2:7" ht="11.25" outlineLevel="4" x14ac:dyDescent="0.2">
      <c r="B3309" s="14" t="s">
        <v>6310</v>
      </c>
      <c r="C3309" s="14" t="s">
        <v>6311</v>
      </c>
      <c r="D3309" s="14">
        <v>10</v>
      </c>
      <c r="E3309" s="15">
        <v>19.73</v>
      </c>
      <c r="F3309" s="16" t="s">
        <v>8</v>
      </c>
      <c r="G3309" s="38" t="str">
        <f>HYPERLINK("http://enext.ua/s022012")</f>
        <v>http://enext.ua/s022012</v>
      </c>
    </row>
    <row r="3310" spans="2:7" ht="11.25" outlineLevel="4" x14ac:dyDescent="0.2">
      <c r="B3310" s="14" t="s">
        <v>6312</v>
      </c>
      <c r="C3310" s="14" t="s">
        <v>6313</v>
      </c>
      <c r="D3310" s="14">
        <v>10</v>
      </c>
      <c r="E3310" s="15">
        <v>24.27</v>
      </c>
      <c r="F3310" s="16" t="s">
        <v>8</v>
      </c>
      <c r="G3310" s="38" t="str">
        <f>HYPERLINK("http://enext.ua/s022017")</f>
        <v>http://enext.ua/s022017</v>
      </c>
    </row>
    <row r="3311" spans="2:7" ht="12" outlineLevel="3" x14ac:dyDescent="0.2">
      <c r="B3311" s="10"/>
      <c r="C3311" s="36" t="s">
        <v>6314</v>
      </c>
      <c r="D3311" s="10"/>
      <c r="E3311" s="11"/>
      <c r="F3311" s="11"/>
      <c r="G3311" s="10"/>
    </row>
    <row r="3312" spans="2:7" ht="11.25" outlineLevel="4" x14ac:dyDescent="0.2">
      <c r="B3312" s="14" t="s">
        <v>6315</v>
      </c>
      <c r="C3312" s="14" t="s">
        <v>6316</v>
      </c>
      <c r="D3312" s="14">
        <v>10</v>
      </c>
      <c r="E3312" s="15">
        <v>16.850000000000001</v>
      </c>
      <c r="F3312" s="16" t="s">
        <v>8</v>
      </c>
      <c r="G3312" s="38" t="str">
        <f>HYPERLINK("http://enext.ua/p0450006")</f>
        <v>http://enext.ua/p0450006</v>
      </c>
    </row>
    <row r="3313" spans="2:7" ht="11.25" outlineLevel="4" x14ac:dyDescent="0.2">
      <c r="B3313" s="14" t="s">
        <v>6317</v>
      </c>
      <c r="C3313" s="14" t="s">
        <v>6318</v>
      </c>
      <c r="D3313" s="14">
        <v>10</v>
      </c>
      <c r="E3313" s="15">
        <v>16.850000000000001</v>
      </c>
      <c r="F3313" s="16" t="s">
        <v>8</v>
      </c>
      <c r="G3313" s="38" t="str">
        <f>HYPERLINK("http://enext.ua/p0450005")</f>
        <v>http://enext.ua/p0450005</v>
      </c>
    </row>
    <row r="3314" spans="2:7" ht="11.25" outlineLevel="4" x14ac:dyDescent="0.2">
      <c r="B3314" s="14" t="s">
        <v>6319</v>
      </c>
      <c r="C3314" s="14" t="s">
        <v>6320</v>
      </c>
      <c r="D3314" s="14">
        <v>10</v>
      </c>
      <c r="E3314" s="15">
        <v>16.850000000000001</v>
      </c>
      <c r="F3314" s="16" t="s">
        <v>8</v>
      </c>
      <c r="G3314" s="38" t="str">
        <f>HYPERLINK("http://enext.ua/p0450003")</f>
        <v>http://enext.ua/p0450003</v>
      </c>
    </row>
    <row r="3315" spans="2:7" ht="11.25" outlineLevel="4" x14ac:dyDescent="0.2">
      <c r="B3315" s="14" t="s">
        <v>6321</v>
      </c>
      <c r="C3315" s="14" t="s">
        <v>6322</v>
      </c>
      <c r="D3315" s="14">
        <v>10</v>
      </c>
      <c r="E3315" s="15">
        <v>16.850000000000001</v>
      </c>
      <c r="F3315" s="16" t="s">
        <v>8</v>
      </c>
      <c r="G3315" s="38" t="str">
        <f>HYPERLINK("http://enext.ua/p0450001")</f>
        <v>http://enext.ua/p0450001</v>
      </c>
    </row>
    <row r="3316" spans="2:7" ht="11.25" outlineLevel="4" x14ac:dyDescent="0.2">
      <c r="B3316" s="14" t="s">
        <v>6323</v>
      </c>
      <c r="C3316" s="14" t="s">
        <v>6324</v>
      </c>
      <c r="D3316" s="14">
        <v>10</v>
      </c>
      <c r="E3316" s="15">
        <v>16.850000000000001</v>
      </c>
      <c r="F3316" s="16" t="s">
        <v>8</v>
      </c>
      <c r="G3316" s="38" t="str">
        <f>HYPERLINK("http://enext.ua/p0450004")</f>
        <v>http://enext.ua/p0450004</v>
      </c>
    </row>
    <row r="3317" spans="2:7" ht="11.25" outlineLevel="4" x14ac:dyDescent="0.2">
      <c r="B3317" s="14" t="s">
        <v>6325</v>
      </c>
      <c r="C3317" s="14" t="s">
        <v>6326</v>
      </c>
      <c r="D3317" s="14">
        <v>10</v>
      </c>
      <c r="E3317" s="15">
        <v>16.850000000000001</v>
      </c>
      <c r="F3317" s="16" t="s">
        <v>8</v>
      </c>
      <c r="G3317" s="38" t="str">
        <f>HYPERLINK("http://enext.ua/p0450002")</f>
        <v>http://enext.ua/p0450002</v>
      </c>
    </row>
    <row r="3318" spans="2:7" ht="11.25" outlineLevel="4" x14ac:dyDescent="0.2">
      <c r="B3318" s="14" t="s">
        <v>6327</v>
      </c>
      <c r="C3318" s="14" t="s">
        <v>6328</v>
      </c>
      <c r="D3318" s="14">
        <v>10</v>
      </c>
      <c r="E3318" s="15">
        <v>20.05</v>
      </c>
      <c r="F3318" s="16" t="s">
        <v>8</v>
      </c>
      <c r="G3318" s="38" t="str">
        <f>HYPERLINK("http://enext.ua/p0450007")</f>
        <v>http://enext.ua/p0450007</v>
      </c>
    </row>
    <row r="3319" spans="2:7" ht="11.25" outlineLevel="4" x14ac:dyDescent="0.2">
      <c r="B3319" s="14" t="s">
        <v>6329</v>
      </c>
      <c r="C3319" s="14" t="s">
        <v>6330</v>
      </c>
      <c r="D3319" s="14">
        <v>10</v>
      </c>
      <c r="E3319" s="15">
        <v>31.1</v>
      </c>
      <c r="F3319" s="16" t="s">
        <v>8</v>
      </c>
      <c r="G3319" s="38" t="str">
        <f>HYPERLINK("http://enext.ua/p0450013")</f>
        <v>http://enext.ua/p0450013</v>
      </c>
    </row>
    <row r="3320" spans="2:7" ht="11.25" outlineLevel="4" x14ac:dyDescent="0.2">
      <c r="B3320" s="14" t="s">
        <v>6331</v>
      </c>
      <c r="C3320" s="14" t="s">
        <v>6332</v>
      </c>
      <c r="D3320" s="14">
        <v>10</v>
      </c>
      <c r="E3320" s="15">
        <v>31.1</v>
      </c>
      <c r="F3320" s="16" t="s">
        <v>8</v>
      </c>
      <c r="G3320" s="38" t="str">
        <f>HYPERLINK("http://enext.ua/p0450012")</f>
        <v>http://enext.ua/p0450012</v>
      </c>
    </row>
    <row r="3321" spans="2:7" ht="11.25" outlineLevel="4" x14ac:dyDescent="0.2">
      <c r="B3321" s="14" t="s">
        <v>6333</v>
      </c>
      <c r="C3321" s="14" t="s">
        <v>6334</v>
      </c>
      <c r="D3321" s="14">
        <v>10</v>
      </c>
      <c r="E3321" s="15">
        <v>31.1</v>
      </c>
      <c r="F3321" s="16" t="s">
        <v>8</v>
      </c>
      <c r="G3321" s="38" t="str">
        <f>HYPERLINK("http://enext.ua/p0450010")</f>
        <v>http://enext.ua/p0450010</v>
      </c>
    </row>
    <row r="3322" spans="2:7" ht="11.25" outlineLevel="4" x14ac:dyDescent="0.2">
      <c r="B3322" s="14" t="s">
        <v>6335</v>
      </c>
      <c r="C3322" s="14" t="s">
        <v>6336</v>
      </c>
      <c r="D3322" s="14">
        <v>10</v>
      </c>
      <c r="E3322" s="15">
        <v>31.1</v>
      </c>
      <c r="F3322" s="16" t="s">
        <v>8</v>
      </c>
      <c r="G3322" s="38" t="str">
        <f>HYPERLINK("http://enext.ua/p0450008")</f>
        <v>http://enext.ua/p0450008</v>
      </c>
    </row>
    <row r="3323" spans="2:7" ht="11.25" outlineLevel="4" x14ac:dyDescent="0.2">
      <c r="B3323" s="14" t="s">
        <v>6337</v>
      </c>
      <c r="C3323" s="14" t="s">
        <v>6338</v>
      </c>
      <c r="D3323" s="14">
        <v>10</v>
      </c>
      <c r="E3323" s="15">
        <v>31.1</v>
      </c>
      <c r="F3323" s="16" t="s">
        <v>8</v>
      </c>
      <c r="G3323" s="38" t="str">
        <f>HYPERLINK("http://enext.ua/p0450011")</f>
        <v>http://enext.ua/p0450011</v>
      </c>
    </row>
    <row r="3324" spans="2:7" ht="11.25" outlineLevel="4" x14ac:dyDescent="0.2">
      <c r="B3324" s="14" t="s">
        <v>6339</v>
      </c>
      <c r="C3324" s="14" t="s">
        <v>6340</v>
      </c>
      <c r="D3324" s="14">
        <v>10</v>
      </c>
      <c r="E3324" s="15">
        <v>31.1</v>
      </c>
      <c r="F3324" s="16" t="s">
        <v>8</v>
      </c>
      <c r="G3324" s="38" t="str">
        <f>HYPERLINK("http://enext.ua/p0450009")</f>
        <v>http://enext.ua/p0450009</v>
      </c>
    </row>
    <row r="3325" spans="2:7" ht="11.25" outlineLevel="4" x14ac:dyDescent="0.2">
      <c r="B3325" s="14" t="s">
        <v>6341</v>
      </c>
      <c r="C3325" s="14" t="s">
        <v>6342</v>
      </c>
      <c r="D3325" s="14">
        <v>10</v>
      </c>
      <c r="E3325" s="15">
        <v>37.49</v>
      </c>
      <c r="F3325" s="16" t="s">
        <v>8</v>
      </c>
      <c r="G3325" s="38" t="str">
        <f>HYPERLINK("http://enext.ua/p0450014")</f>
        <v>http://enext.ua/p0450014</v>
      </c>
    </row>
    <row r="3326" spans="2:7" ht="12" outlineLevel="3" x14ac:dyDescent="0.2">
      <c r="B3326" s="10"/>
      <c r="C3326" s="36" t="s">
        <v>6343</v>
      </c>
      <c r="D3326" s="10"/>
      <c r="E3326" s="11"/>
      <c r="F3326" s="11"/>
      <c r="G3326" s="10"/>
    </row>
    <row r="3327" spans="2:7" ht="11.25" outlineLevel="4" x14ac:dyDescent="0.2">
      <c r="B3327" s="14" t="s">
        <v>6344</v>
      </c>
      <c r="C3327" s="14" t="s">
        <v>6345</v>
      </c>
      <c r="D3327" s="14">
        <v>1</v>
      </c>
      <c r="E3327" s="15">
        <v>71.78</v>
      </c>
      <c r="F3327" s="16" t="s">
        <v>8</v>
      </c>
      <c r="G3327" s="38" t="str">
        <f>HYPERLINK("http://enext.ua/p054001")</f>
        <v>http://enext.ua/p054001</v>
      </c>
    </row>
    <row r="3328" spans="2:7" ht="12" outlineLevel="2" x14ac:dyDescent="0.2">
      <c r="B3328" s="8"/>
      <c r="C3328" s="35" t="s">
        <v>6346</v>
      </c>
      <c r="D3328" s="8"/>
      <c r="E3328" s="9"/>
      <c r="F3328" s="9"/>
      <c r="G3328" s="8"/>
    </row>
    <row r="3329" spans="2:7" ht="12" outlineLevel="3" x14ac:dyDescent="0.2">
      <c r="B3329" s="10"/>
      <c r="C3329" s="36" t="s">
        <v>6347</v>
      </c>
      <c r="D3329" s="10"/>
      <c r="E3329" s="11"/>
      <c r="F3329" s="11"/>
      <c r="G3329" s="10"/>
    </row>
    <row r="3330" spans="2:7" ht="11.25" outlineLevel="4" x14ac:dyDescent="0.2">
      <c r="B3330" s="14" t="s">
        <v>6348</v>
      </c>
      <c r="C3330" s="14" t="s">
        <v>6349</v>
      </c>
      <c r="D3330" s="14">
        <v>1</v>
      </c>
      <c r="E3330" s="15">
        <v>8.7899999999999991</v>
      </c>
      <c r="F3330" s="16" t="s">
        <v>8</v>
      </c>
      <c r="G3330" s="38" t="str">
        <f>HYPERLINK("http://enext.ua/s027024")</f>
        <v>http://enext.ua/s027024</v>
      </c>
    </row>
    <row r="3331" spans="2:7" ht="11.25" outlineLevel="4" x14ac:dyDescent="0.2">
      <c r="B3331" s="14" t="s">
        <v>6350</v>
      </c>
      <c r="C3331" s="14" t="s">
        <v>6351</v>
      </c>
      <c r="D3331" s="14">
        <v>1</v>
      </c>
      <c r="E3331" s="15">
        <v>208.76</v>
      </c>
      <c r="F3331" s="16" t="s">
        <v>4092</v>
      </c>
      <c r="G3331" s="14"/>
    </row>
    <row r="3332" spans="2:7" ht="11.25" outlineLevel="4" x14ac:dyDescent="0.2">
      <c r="B3332" s="14" t="s">
        <v>6352</v>
      </c>
      <c r="C3332" s="14" t="s">
        <v>6353</v>
      </c>
      <c r="D3332" s="14">
        <v>1</v>
      </c>
      <c r="E3332" s="15">
        <v>9.8800000000000008</v>
      </c>
      <c r="F3332" s="16" t="s">
        <v>8</v>
      </c>
      <c r="G3332" s="38" t="str">
        <f>HYPERLINK("http://enext.ua/s027030")</f>
        <v>http://enext.ua/s027030</v>
      </c>
    </row>
    <row r="3333" spans="2:7" ht="11.25" outlineLevel="4" x14ac:dyDescent="0.2">
      <c r="B3333" s="14" t="s">
        <v>6354</v>
      </c>
      <c r="C3333" s="14" t="s">
        <v>6355</v>
      </c>
      <c r="D3333" s="14">
        <v>1</v>
      </c>
      <c r="E3333" s="15">
        <v>234.65</v>
      </c>
      <c r="F3333" s="16" t="s">
        <v>4092</v>
      </c>
      <c r="G3333" s="14"/>
    </row>
    <row r="3334" spans="2:7" ht="11.25" outlineLevel="4" x14ac:dyDescent="0.2">
      <c r="B3334" s="14" t="s">
        <v>6356</v>
      </c>
      <c r="C3334" s="14" t="s">
        <v>6357</v>
      </c>
      <c r="D3334" s="14">
        <v>1</v>
      </c>
      <c r="E3334" s="15">
        <v>9.6</v>
      </c>
      <c r="F3334" s="16" t="s">
        <v>8</v>
      </c>
      <c r="G3334" s="38" t="str">
        <f>HYPERLINK("http://enext.ua/s027026")</f>
        <v>http://enext.ua/s027026</v>
      </c>
    </row>
    <row r="3335" spans="2:7" ht="11.25" outlineLevel="4" x14ac:dyDescent="0.2">
      <c r="B3335" s="14" t="s">
        <v>6358</v>
      </c>
      <c r="C3335" s="14" t="s">
        <v>6359</v>
      </c>
      <c r="D3335" s="14">
        <v>1</v>
      </c>
      <c r="E3335" s="15">
        <v>228.24</v>
      </c>
      <c r="F3335" s="16" t="s">
        <v>4092</v>
      </c>
      <c r="G3335" s="14"/>
    </row>
    <row r="3336" spans="2:7" ht="11.25" outlineLevel="4" x14ac:dyDescent="0.2">
      <c r="B3336" s="14" t="s">
        <v>6360</v>
      </c>
      <c r="C3336" s="14" t="s">
        <v>6361</v>
      </c>
      <c r="D3336" s="14">
        <v>1</v>
      </c>
      <c r="E3336" s="15">
        <v>10.76</v>
      </c>
      <c r="F3336" s="16" t="s">
        <v>8</v>
      </c>
      <c r="G3336" s="38" t="str">
        <f>HYPERLINK("http://enext.ua/s027031")</f>
        <v>http://enext.ua/s027031</v>
      </c>
    </row>
    <row r="3337" spans="2:7" ht="11.25" outlineLevel="4" x14ac:dyDescent="0.2">
      <c r="B3337" s="14" t="s">
        <v>6362</v>
      </c>
      <c r="C3337" s="14" t="s">
        <v>6363</v>
      </c>
      <c r="D3337" s="14">
        <v>1</v>
      </c>
      <c r="E3337" s="15">
        <v>255.55</v>
      </c>
      <c r="F3337" s="16" t="s">
        <v>4092</v>
      </c>
      <c r="G3337" s="14"/>
    </row>
    <row r="3338" spans="2:7" ht="11.25" outlineLevel="4" x14ac:dyDescent="0.2">
      <c r="B3338" s="14" t="s">
        <v>6364</v>
      </c>
      <c r="C3338" s="14" t="s">
        <v>6365</v>
      </c>
      <c r="D3338" s="14">
        <v>1</v>
      </c>
      <c r="E3338" s="15">
        <v>30.62</v>
      </c>
      <c r="F3338" s="16" t="s">
        <v>8</v>
      </c>
      <c r="G3338" s="38" t="str">
        <f>HYPERLINK("http://enext.ua/s027027")</f>
        <v>http://enext.ua/s027027</v>
      </c>
    </row>
    <row r="3339" spans="2:7" ht="11.25" outlineLevel="4" x14ac:dyDescent="0.2">
      <c r="B3339" s="14" t="s">
        <v>6366</v>
      </c>
      <c r="C3339" s="14" t="s">
        <v>6367</v>
      </c>
      <c r="D3339" s="14">
        <v>1</v>
      </c>
      <c r="E3339" s="15">
        <v>436.34</v>
      </c>
      <c r="F3339" s="16" t="s">
        <v>4092</v>
      </c>
      <c r="G3339" s="14"/>
    </row>
    <row r="3340" spans="2:7" ht="11.25" outlineLevel="4" x14ac:dyDescent="0.2">
      <c r="B3340" s="14" t="s">
        <v>6368</v>
      </c>
      <c r="C3340" s="14" t="s">
        <v>6369</v>
      </c>
      <c r="D3340" s="14">
        <v>1</v>
      </c>
      <c r="E3340" s="15">
        <v>31.77</v>
      </c>
      <c r="F3340" s="16" t="s">
        <v>8</v>
      </c>
      <c r="G3340" s="38" t="str">
        <f>HYPERLINK("http://enext.ua/s027032")</f>
        <v>http://enext.ua/s027032</v>
      </c>
    </row>
    <row r="3341" spans="2:7" ht="11.25" outlineLevel="4" x14ac:dyDescent="0.2">
      <c r="B3341" s="14" t="s">
        <v>6370</v>
      </c>
      <c r="C3341" s="14" t="s">
        <v>6371</v>
      </c>
      <c r="D3341" s="14">
        <v>1</v>
      </c>
      <c r="E3341" s="15">
        <v>452.72</v>
      </c>
      <c r="F3341" s="16" t="s">
        <v>4092</v>
      </c>
      <c r="G3341" s="14"/>
    </row>
    <row r="3342" spans="2:7" ht="11.25" outlineLevel="4" x14ac:dyDescent="0.2">
      <c r="B3342" s="14" t="s">
        <v>6372</v>
      </c>
      <c r="C3342" s="14" t="s">
        <v>6373</v>
      </c>
      <c r="D3342" s="14">
        <v>1</v>
      </c>
      <c r="E3342" s="15">
        <v>41.94</v>
      </c>
      <c r="F3342" s="16" t="s">
        <v>8</v>
      </c>
      <c r="G3342" s="38" t="str">
        <f>HYPERLINK("http://enext.ua/s027028")</f>
        <v>http://enext.ua/s027028</v>
      </c>
    </row>
    <row r="3343" spans="2:7" ht="11.25" outlineLevel="4" x14ac:dyDescent="0.2">
      <c r="B3343" s="14" t="s">
        <v>6374</v>
      </c>
      <c r="C3343" s="14" t="s">
        <v>6375</v>
      </c>
      <c r="D3343" s="14">
        <v>1</v>
      </c>
      <c r="E3343" s="15">
        <v>398.43</v>
      </c>
      <c r="F3343" s="16" t="s">
        <v>4092</v>
      </c>
      <c r="G3343" s="14"/>
    </row>
    <row r="3344" spans="2:7" ht="11.25" outlineLevel="4" x14ac:dyDescent="0.2">
      <c r="B3344" s="14" t="s">
        <v>6376</v>
      </c>
      <c r="C3344" s="14" t="s">
        <v>6377</v>
      </c>
      <c r="D3344" s="14">
        <v>1</v>
      </c>
      <c r="E3344" s="15">
        <v>43.85</v>
      </c>
      <c r="F3344" s="16" t="s">
        <v>8</v>
      </c>
      <c r="G3344" s="38" t="str">
        <f>HYPERLINK("http://enext.ua/s027033")</f>
        <v>http://enext.ua/s027033</v>
      </c>
    </row>
    <row r="3345" spans="2:7" ht="11.25" outlineLevel="4" x14ac:dyDescent="0.2">
      <c r="B3345" s="14" t="s">
        <v>6378</v>
      </c>
      <c r="C3345" s="14" t="s">
        <v>6379</v>
      </c>
      <c r="D3345" s="14">
        <v>1</v>
      </c>
      <c r="E3345" s="15">
        <v>416.58</v>
      </c>
      <c r="F3345" s="16" t="s">
        <v>4092</v>
      </c>
      <c r="G3345" s="14"/>
    </row>
    <row r="3346" spans="2:7" ht="11.25" outlineLevel="4" x14ac:dyDescent="0.2">
      <c r="B3346" s="14" t="s">
        <v>6380</v>
      </c>
      <c r="C3346" s="14" t="s">
        <v>6381</v>
      </c>
      <c r="D3346" s="14">
        <v>1</v>
      </c>
      <c r="E3346" s="15">
        <v>60.84</v>
      </c>
      <c r="F3346" s="16" t="s">
        <v>8</v>
      </c>
      <c r="G3346" s="38" t="str">
        <f>HYPERLINK("http://enext.ua/s027029")</f>
        <v>http://enext.ua/s027029</v>
      </c>
    </row>
    <row r="3347" spans="2:7" ht="11.25" outlineLevel="4" x14ac:dyDescent="0.2">
      <c r="B3347" s="14" t="s">
        <v>6382</v>
      </c>
      <c r="C3347" s="14" t="s">
        <v>6383</v>
      </c>
      <c r="D3347" s="14">
        <v>1</v>
      </c>
      <c r="E3347" s="15">
        <v>346.79</v>
      </c>
      <c r="F3347" s="16" t="s">
        <v>4092</v>
      </c>
      <c r="G3347" s="14"/>
    </row>
    <row r="3348" spans="2:7" ht="11.25" outlineLevel="4" x14ac:dyDescent="0.2">
      <c r="B3348" s="14" t="s">
        <v>6384</v>
      </c>
      <c r="C3348" s="14" t="s">
        <v>6385</v>
      </c>
      <c r="D3348" s="14">
        <v>1</v>
      </c>
      <c r="E3348" s="15">
        <v>62.62</v>
      </c>
      <c r="F3348" s="16" t="s">
        <v>8</v>
      </c>
      <c r="G3348" s="38" t="str">
        <f>HYPERLINK("http://enext.ua/s027034")</f>
        <v>http://enext.ua/s027034</v>
      </c>
    </row>
    <row r="3349" spans="2:7" ht="11.25" outlineLevel="4" x14ac:dyDescent="0.2">
      <c r="B3349" s="14" t="s">
        <v>6386</v>
      </c>
      <c r="C3349" s="14" t="s">
        <v>6387</v>
      </c>
      <c r="D3349" s="14">
        <v>1</v>
      </c>
      <c r="E3349" s="15">
        <v>356.93</v>
      </c>
      <c r="F3349" s="16" t="s">
        <v>4092</v>
      </c>
      <c r="G3349" s="14"/>
    </row>
    <row r="3350" spans="2:7" ht="11.25" outlineLevel="4" x14ac:dyDescent="0.2">
      <c r="B3350" s="14" t="s">
        <v>6388</v>
      </c>
      <c r="C3350" s="14" t="s">
        <v>6389</v>
      </c>
      <c r="D3350" s="14">
        <v>200</v>
      </c>
      <c r="E3350" s="15">
        <v>5.26</v>
      </c>
      <c r="F3350" s="16" t="s">
        <v>8</v>
      </c>
      <c r="G3350" s="38" t="str">
        <f>HYPERLINK("http://enext.ua/s027014")</f>
        <v>http://enext.ua/s027014</v>
      </c>
    </row>
    <row r="3351" spans="2:7" ht="11.25" outlineLevel="4" x14ac:dyDescent="0.2">
      <c r="B3351" s="14" t="s">
        <v>6390</v>
      </c>
      <c r="C3351" s="14" t="s">
        <v>6391</v>
      </c>
      <c r="D3351" s="14">
        <v>1</v>
      </c>
      <c r="E3351" s="15">
        <v>5.26</v>
      </c>
      <c r="F3351" s="16" t="s">
        <v>8</v>
      </c>
      <c r="G3351" s="38" t="str">
        <f>HYPERLINK("http://enext.ua/s027007")</f>
        <v>http://enext.ua/s027007</v>
      </c>
    </row>
    <row r="3352" spans="2:7" ht="11.25" outlineLevel="4" x14ac:dyDescent="0.2">
      <c r="B3352" s="14" t="s">
        <v>6392</v>
      </c>
      <c r="C3352" s="14" t="s">
        <v>6393</v>
      </c>
      <c r="D3352" s="14">
        <v>100</v>
      </c>
      <c r="E3352" s="15">
        <v>8.6999999999999993</v>
      </c>
      <c r="F3352" s="16" t="s">
        <v>8</v>
      </c>
      <c r="G3352" s="38" t="str">
        <f>HYPERLINK("http://enext.ua/s027011")</f>
        <v>http://enext.ua/s027011</v>
      </c>
    </row>
    <row r="3353" spans="2:7" ht="11.25" outlineLevel="4" x14ac:dyDescent="0.2">
      <c r="B3353" s="14" t="s">
        <v>6394</v>
      </c>
      <c r="C3353" s="14" t="s">
        <v>6395</v>
      </c>
      <c r="D3353" s="14">
        <v>200</v>
      </c>
      <c r="E3353" s="15">
        <v>6.81</v>
      </c>
      <c r="F3353" s="16" t="s">
        <v>8</v>
      </c>
      <c r="G3353" s="38" t="str">
        <f>HYPERLINK("http://enext.ua/s027015")</f>
        <v>http://enext.ua/s027015</v>
      </c>
    </row>
    <row r="3354" spans="2:7" ht="11.25" outlineLevel="4" x14ac:dyDescent="0.2">
      <c r="B3354" s="14" t="s">
        <v>6396</v>
      </c>
      <c r="C3354" s="14" t="s">
        <v>6397</v>
      </c>
      <c r="D3354" s="14">
        <v>200</v>
      </c>
      <c r="E3354" s="15">
        <v>6.81</v>
      </c>
      <c r="F3354" s="16" t="s">
        <v>8</v>
      </c>
      <c r="G3354" s="38" t="str">
        <f>HYPERLINK("http://enext.ua/s027005")</f>
        <v>http://enext.ua/s027005</v>
      </c>
    </row>
    <row r="3355" spans="2:7" ht="11.25" outlineLevel="4" x14ac:dyDescent="0.2">
      <c r="B3355" s="14" t="s">
        <v>6398</v>
      </c>
      <c r="C3355" s="14" t="s">
        <v>6399</v>
      </c>
      <c r="D3355" s="14">
        <v>100</v>
      </c>
      <c r="E3355" s="15">
        <v>9.7799999999999994</v>
      </c>
      <c r="F3355" s="16" t="s">
        <v>8</v>
      </c>
      <c r="G3355" s="38" t="str">
        <f>HYPERLINK("http://enext.ua/s027012")</f>
        <v>http://enext.ua/s027012</v>
      </c>
    </row>
    <row r="3356" spans="2:7" ht="11.25" outlineLevel="4" x14ac:dyDescent="0.2">
      <c r="B3356" s="14" t="s">
        <v>6400</v>
      </c>
      <c r="C3356" s="14" t="s">
        <v>6401</v>
      </c>
      <c r="D3356" s="14">
        <v>200</v>
      </c>
      <c r="E3356" s="15">
        <v>8.3699999999999992</v>
      </c>
      <c r="F3356" s="16" t="s">
        <v>8</v>
      </c>
      <c r="G3356" s="38" t="str">
        <f>HYPERLINK("http://enext.ua/s027016")</f>
        <v>http://enext.ua/s027016</v>
      </c>
    </row>
    <row r="3357" spans="2:7" ht="11.25" outlineLevel="4" x14ac:dyDescent="0.2">
      <c r="B3357" s="14" t="s">
        <v>6402</v>
      </c>
      <c r="C3357" s="14" t="s">
        <v>6403</v>
      </c>
      <c r="D3357" s="14">
        <v>200</v>
      </c>
      <c r="E3357" s="15">
        <v>8.3699999999999992</v>
      </c>
      <c r="F3357" s="16" t="s">
        <v>8</v>
      </c>
      <c r="G3357" s="38" t="str">
        <f>HYPERLINK("http://enext.ua/s027006")</f>
        <v>http://enext.ua/s027006</v>
      </c>
    </row>
    <row r="3358" spans="2:7" ht="11.25" outlineLevel="4" x14ac:dyDescent="0.2">
      <c r="B3358" s="14" t="s">
        <v>6404</v>
      </c>
      <c r="C3358" s="14" t="s">
        <v>6405</v>
      </c>
      <c r="D3358" s="14">
        <v>100</v>
      </c>
      <c r="E3358" s="15">
        <v>11.64</v>
      </c>
      <c r="F3358" s="16" t="s">
        <v>8</v>
      </c>
      <c r="G3358" s="38" t="str">
        <f>HYPERLINK("http://enext.ua/s027013")</f>
        <v>http://enext.ua/s027013</v>
      </c>
    </row>
    <row r="3359" spans="2:7" ht="11.25" outlineLevel="4" x14ac:dyDescent="0.2">
      <c r="B3359" s="14" t="s">
        <v>6406</v>
      </c>
      <c r="C3359" s="14" t="s">
        <v>6407</v>
      </c>
      <c r="D3359" s="14">
        <v>100</v>
      </c>
      <c r="E3359" s="15">
        <v>17.75</v>
      </c>
      <c r="F3359" s="16" t="s">
        <v>8</v>
      </c>
      <c r="G3359" s="38" t="str">
        <f>HYPERLINK("http://enext.ua/s027017")</f>
        <v>http://enext.ua/s027017</v>
      </c>
    </row>
    <row r="3360" spans="2:7" ht="11.25" outlineLevel="4" x14ac:dyDescent="0.2">
      <c r="B3360" s="14" t="s">
        <v>6408</v>
      </c>
      <c r="C3360" s="14" t="s">
        <v>6409</v>
      </c>
      <c r="D3360" s="14">
        <v>100</v>
      </c>
      <c r="E3360" s="15">
        <v>24.58</v>
      </c>
      <c r="F3360" s="16" t="s">
        <v>8</v>
      </c>
      <c r="G3360" s="38" t="str">
        <f>HYPERLINK("http://enext.ua/s027022")</f>
        <v>http://enext.ua/s027022</v>
      </c>
    </row>
    <row r="3361" spans="2:7" ht="11.25" outlineLevel="4" x14ac:dyDescent="0.2">
      <c r="B3361" s="14" t="s">
        <v>6410</v>
      </c>
      <c r="C3361" s="14" t="s">
        <v>6411</v>
      </c>
      <c r="D3361" s="14">
        <v>1</v>
      </c>
      <c r="E3361" s="15">
        <v>28.58</v>
      </c>
      <c r="F3361" s="16" t="s">
        <v>8</v>
      </c>
      <c r="G3361" s="38" t="str">
        <f>HYPERLINK("http://enext.ua/s027035")</f>
        <v>http://enext.ua/s027035</v>
      </c>
    </row>
    <row r="3362" spans="2:7" ht="22.5" outlineLevel="4" x14ac:dyDescent="0.2">
      <c r="B3362" s="14" t="s">
        <v>6412</v>
      </c>
      <c r="C3362" s="14" t="s">
        <v>6413</v>
      </c>
      <c r="D3362" s="14">
        <v>1</v>
      </c>
      <c r="E3362" s="15">
        <v>28.58</v>
      </c>
      <c r="F3362" s="16" t="s">
        <v>8</v>
      </c>
      <c r="G3362" s="38" t="str">
        <f>HYPERLINK("http://enext.ua/s027036")</f>
        <v>http://enext.ua/s027036</v>
      </c>
    </row>
    <row r="3363" spans="2:7" ht="22.5" outlineLevel="4" x14ac:dyDescent="0.2">
      <c r="B3363" s="14" t="s">
        <v>6414</v>
      </c>
      <c r="C3363" s="14" t="s">
        <v>6415</v>
      </c>
      <c r="D3363" s="14">
        <v>1</v>
      </c>
      <c r="E3363" s="15">
        <v>18.96</v>
      </c>
      <c r="F3363" s="16" t="s">
        <v>8</v>
      </c>
      <c r="G3363" s="38" t="str">
        <f>HYPERLINK("http://enext.ua/s027037")</f>
        <v>http://enext.ua/s027037</v>
      </c>
    </row>
    <row r="3364" spans="2:7" ht="12" outlineLevel="3" x14ac:dyDescent="0.2">
      <c r="B3364" s="10"/>
      <c r="C3364" s="36" t="s">
        <v>6416</v>
      </c>
      <c r="D3364" s="10"/>
      <c r="E3364" s="11"/>
      <c r="F3364" s="11"/>
      <c r="G3364" s="10"/>
    </row>
    <row r="3365" spans="2:7" ht="11.25" outlineLevel="4" x14ac:dyDescent="0.2">
      <c r="B3365" s="14" t="s">
        <v>6417</v>
      </c>
      <c r="C3365" s="14" t="s">
        <v>6418</v>
      </c>
      <c r="D3365" s="14">
        <v>2</v>
      </c>
      <c r="E3365" s="15">
        <v>34</v>
      </c>
      <c r="F3365" s="16" t="s">
        <v>8</v>
      </c>
      <c r="G3365" s="38" t="str">
        <f>HYPERLINK("http://enext.ua/p016002")</f>
        <v>http://enext.ua/p016002</v>
      </c>
    </row>
    <row r="3366" spans="2:7" ht="11.25" outlineLevel="4" x14ac:dyDescent="0.2">
      <c r="B3366" s="14" t="s">
        <v>6419</v>
      </c>
      <c r="C3366" s="14" t="s">
        <v>6420</v>
      </c>
      <c r="D3366" s="14">
        <v>2</v>
      </c>
      <c r="E3366" s="15">
        <v>62.24</v>
      </c>
      <c r="F3366" s="16" t="s">
        <v>8</v>
      </c>
      <c r="G3366" s="38" t="str">
        <f>HYPERLINK("http://enext.ua/p016003")</f>
        <v>http://enext.ua/p016003</v>
      </c>
    </row>
    <row r="3367" spans="2:7" ht="11.25" outlineLevel="4" x14ac:dyDescent="0.2">
      <c r="B3367" s="14" t="s">
        <v>6421</v>
      </c>
      <c r="C3367" s="14" t="s">
        <v>6422</v>
      </c>
      <c r="D3367" s="14">
        <v>1</v>
      </c>
      <c r="E3367" s="15">
        <v>85.52</v>
      </c>
      <c r="F3367" s="16" t="s">
        <v>8</v>
      </c>
      <c r="G3367" s="38" t="str">
        <f>HYPERLINK("http://enext.ua/p016008")</f>
        <v>http://enext.ua/p016008</v>
      </c>
    </row>
    <row r="3368" spans="2:7" ht="11.25" outlineLevel="4" x14ac:dyDescent="0.2">
      <c r="B3368" s="14" t="s">
        <v>6423</v>
      </c>
      <c r="C3368" s="14" t="s">
        <v>6424</v>
      </c>
      <c r="D3368" s="14">
        <v>2</v>
      </c>
      <c r="E3368" s="15">
        <v>98.07</v>
      </c>
      <c r="F3368" s="16" t="s">
        <v>8</v>
      </c>
      <c r="G3368" s="38" t="str">
        <f>HYPERLINK("http://enext.ua/p016004")</f>
        <v>http://enext.ua/p016004</v>
      </c>
    </row>
    <row r="3369" spans="2:7" ht="11.25" outlineLevel="4" x14ac:dyDescent="0.2">
      <c r="B3369" s="14" t="s">
        <v>6425</v>
      </c>
      <c r="C3369" s="14" t="s">
        <v>6426</v>
      </c>
      <c r="D3369" s="14">
        <v>1</v>
      </c>
      <c r="E3369" s="15">
        <v>97.03</v>
      </c>
      <c r="F3369" s="16" t="s">
        <v>8</v>
      </c>
      <c r="G3369" s="38" t="str">
        <f>HYPERLINK("http://enext.ua/p016005")</f>
        <v>http://enext.ua/p016005</v>
      </c>
    </row>
    <row r="3370" spans="2:7" ht="11.25" outlineLevel="4" x14ac:dyDescent="0.2">
      <c r="B3370" s="14" t="s">
        <v>6427</v>
      </c>
      <c r="C3370" s="14" t="s">
        <v>6428</v>
      </c>
      <c r="D3370" s="14">
        <v>1</v>
      </c>
      <c r="E3370" s="15">
        <v>115.76</v>
      </c>
      <c r="F3370" s="16" t="s">
        <v>8</v>
      </c>
      <c r="G3370" s="38" t="str">
        <f>HYPERLINK("http://enext.ua/p016009")</f>
        <v>http://enext.ua/p016009</v>
      </c>
    </row>
    <row r="3371" spans="2:7" ht="11.25" outlineLevel="4" x14ac:dyDescent="0.2">
      <c r="B3371" s="14" t="s">
        <v>6429</v>
      </c>
      <c r="C3371" s="14" t="s">
        <v>6430</v>
      </c>
      <c r="D3371" s="14">
        <v>1</v>
      </c>
      <c r="E3371" s="15">
        <v>182.01</v>
      </c>
      <c r="F3371" s="16" t="s">
        <v>8</v>
      </c>
      <c r="G3371" s="38" t="str">
        <f>HYPERLINK("http://enext.ua/p016012")</f>
        <v>http://enext.ua/p016012</v>
      </c>
    </row>
    <row r="3372" spans="2:7" ht="11.25" outlineLevel="4" x14ac:dyDescent="0.2">
      <c r="B3372" s="14" t="s">
        <v>6431</v>
      </c>
      <c r="C3372" s="14" t="s">
        <v>6432</v>
      </c>
      <c r="D3372" s="14">
        <v>1</v>
      </c>
      <c r="E3372" s="15">
        <v>188.81</v>
      </c>
      <c r="F3372" s="16" t="s">
        <v>8</v>
      </c>
      <c r="G3372" s="38" t="str">
        <f>HYPERLINK("http://enext.ua/p016006")</f>
        <v>http://enext.ua/p016006</v>
      </c>
    </row>
    <row r="3373" spans="2:7" ht="11.25" outlineLevel="4" x14ac:dyDescent="0.2">
      <c r="B3373" s="14" t="s">
        <v>6433</v>
      </c>
      <c r="C3373" s="14" t="s">
        <v>6434</v>
      </c>
      <c r="D3373" s="14">
        <v>1</v>
      </c>
      <c r="E3373" s="15">
        <v>351.52</v>
      </c>
      <c r="F3373" s="16" t="s">
        <v>8</v>
      </c>
      <c r="G3373" s="38" t="str">
        <f>HYPERLINK("http://enext.ua/p016010")</f>
        <v>http://enext.ua/p016010</v>
      </c>
    </row>
    <row r="3374" spans="2:7" ht="11.25" outlineLevel="4" x14ac:dyDescent="0.2">
      <c r="B3374" s="14" t="s">
        <v>6435</v>
      </c>
      <c r="C3374" s="14" t="s">
        <v>6436</v>
      </c>
      <c r="D3374" s="14">
        <v>1</v>
      </c>
      <c r="E3374" s="15">
        <v>544.82000000000005</v>
      </c>
      <c r="F3374" s="16" t="s">
        <v>8</v>
      </c>
      <c r="G3374" s="38" t="str">
        <f>HYPERLINK("http://enext.ua/p016011")</f>
        <v>http://enext.ua/p016011</v>
      </c>
    </row>
    <row r="3375" spans="2:7" ht="11.25" outlineLevel="4" x14ac:dyDescent="0.2">
      <c r="B3375" s="14" t="s">
        <v>6437</v>
      </c>
      <c r="C3375" s="14" t="s">
        <v>6438</v>
      </c>
      <c r="D3375" s="14">
        <v>1</v>
      </c>
      <c r="E3375" s="15">
        <v>20.92</v>
      </c>
      <c r="F3375" s="16" t="s">
        <v>8</v>
      </c>
      <c r="G3375" s="38" t="str">
        <f>HYPERLINK("http://enext.ua/p016007")</f>
        <v>http://enext.ua/p016007</v>
      </c>
    </row>
    <row r="3376" spans="2:7" ht="11.25" outlineLevel="4" x14ac:dyDescent="0.2">
      <c r="B3376" s="14" t="s">
        <v>6439</v>
      </c>
      <c r="C3376" s="14" t="s">
        <v>6440</v>
      </c>
      <c r="D3376" s="14">
        <v>1</v>
      </c>
      <c r="E3376" s="15">
        <v>28.48</v>
      </c>
      <c r="F3376" s="16" t="s">
        <v>8</v>
      </c>
      <c r="G3376" s="38" t="str">
        <f>HYPERLINK("http://enext.ua/p016001")</f>
        <v>http://enext.ua/p016001</v>
      </c>
    </row>
    <row r="3377" spans="2:7" ht="12" outlineLevel="3" x14ac:dyDescent="0.2">
      <c r="B3377" s="10"/>
      <c r="C3377" s="36" t="s">
        <v>6441</v>
      </c>
      <c r="D3377" s="10"/>
      <c r="E3377" s="11"/>
      <c r="F3377" s="11"/>
      <c r="G3377" s="10"/>
    </row>
    <row r="3378" spans="2:7" ht="11.25" outlineLevel="4" x14ac:dyDescent="0.2">
      <c r="B3378" s="14" t="s">
        <v>6442</v>
      </c>
      <c r="C3378" s="14" t="s">
        <v>6443</v>
      </c>
      <c r="D3378" s="14">
        <v>1</v>
      </c>
      <c r="E3378" s="15">
        <v>55.68</v>
      </c>
      <c r="F3378" s="16" t="s">
        <v>8</v>
      </c>
      <c r="G3378" s="38" t="str">
        <f>HYPERLINK("http://enext.ua/p018003")</f>
        <v>http://enext.ua/p018003</v>
      </c>
    </row>
    <row r="3379" spans="2:7" ht="11.25" outlineLevel="4" x14ac:dyDescent="0.2">
      <c r="B3379" s="14" t="s">
        <v>6444</v>
      </c>
      <c r="C3379" s="14" t="s">
        <v>6445</v>
      </c>
      <c r="D3379" s="14">
        <v>1</v>
      </c>
      <c r="E3379" s="15">
        <v>76.98</v>
      </c>
      <c r="F3379" s="16" t="s">
        <v>8</v>
      </c>
      <c r="G3379" s="38" t="str">
        <f>HYPERLINK("http://enext.ua/p018008")</f>
        <v>http://enext.ua/p018008</v>
      </c>
    </row>
    <row r="3380" spans="2:7" ht="11.25" outlineLevel="4" x14ac:dyDescent="0.2">
      <c r="B3380" s="14" t="s">
        <v>6446</v>
      </c>
      <c r="C3380" s="14" t="s">
        <v>6447</v>
      </c>
      <c r="D3380" s="14">
        <v>1</v>
      </c>
      <c r="E3380" s="15">
        <v>87.28</v>
      </c>
      <c r="F3380" s="16" t="s">
        <v>8</v>
      </c>
      <c r="G3380" s="38" t="str">
        <f>HYPERLINK("http://enext.ua/p018004")</f>
        <v>http://enext.ua/p018004</v>
      </c>
    </row>
    <row r="3381" spans="2:7" ht="11.25" outlineLevel="4" x14ac:dyDescent="0.2">
      <c r="B3381" s="14" t="s">
        <v>6448</v>
      </c>
      <c r="C3381" s="14" t="s">
        <v>6449</v>
      </c>
      <c r="D3381" s="14">
        <v>1</v>
      </c>
      <c r="E3381" s="15">
        <v>87.34</v>
      </c>
      <c r="F3381" s="16" t="s">
        <v>8</v>
      </c>
      <c r="G3381" s="38" t="str">
        <f>HYPERLINK("http://enext.ua/p018005")</f>
        <v>http://enext.ua/p018005</v>
      </c>
    </row>
    <row r="3382" spans="2:7" ht="11.25" outlineLevel="4" x14ac:dyDescent="0.2">
      <c r="B3382" s="14" t="s">
        <v>6450</v>
      </c>
      <c r="C3382" s="14" t="s">
        <v>6451</v>
      </c>
      <c r="D3382" s="14">
        <v>1</v>
      </c>
      <c r="E3382" s="15">
        <v>117.23</v>
      </c>
      <c r="F3382" s="16" t="s">
        <v>8</v>
      </c>
      <c r="G3382" s="38" t="str">
        <f>HYPERLINK("http://enext.ua/p018009")</f>
        <v>http://enext.ua/p018009</v>
      </c>
    </row>
    <row r="3383" spans="2:7" ht="11.25" outlineLevel="4" x14ac:dyDescent="0.2">
      <c r="B3383" s="14" t="s">
        <v>6452</v>
      </c>
      <c r="C3383" s="14" t="s">
        <v>6453</v>
      </c>
      <c r="D3383" s="14">
        <v>1</v>
      </c>
      <c r="E3383" s="15">
        <v>142.52000000000001</v>
      </c>
      <c r="F3383" s="16" t="s">
        <v>8</v>
      </c>
      <c r="G3383" s="38" t="str">
        <f>HYPERLINK("http://enext.ua/p018012")</f>
        <v>http://enext.ua/p018012</v>
      </c>
    </row>
    <row r="3384" spans="2:7" ht="11.25" outlineLevel="4" x14ac:dyDescent="0.2">
      <c r="B3384" s="14" t="s">
        <v>6454</v>
      </c>
      <c r="C3384" s="14" t="s">
        <v>6455</v>
      </c>
      <c r="D3384" s="14">
        <v>1</v>
      </c>
      <c r="E3384" s="15">
        <v>188.82</v>
      </c>
      <c r="F3384" s="16" t="s">
        <v>8</v>
      </c>
      <c r="G3384" s="38" t="str">
        <f>HYPERLINK("http://enext.ua/p018006")</f>
        <v>http://enext.ua/p018006</v>
      </c>
    </row>
    <row r="3385" spans="2:7" ht="11.25" outlineLevel="4" x14ac:dyDescent="0.2">
      <c r="B3385" s="14" t="s">
        <v>6456</v>
      </c>
      <c r="C3385" s="14" t="s">
        <v>6457</v>
      </c>
      <c r="D3385" s="14">
        <v>1</v>
      </c>
      <c r="E3385" s="15">
        <v>550.02</v>
      </c>
      <c r="F3385" s="16" t="s">
        <v>8</v>
      </c>
      <c r="G3385" s="38" t="str">
        <f>HYPERLINK("http://enext.ua/p018010")</f>
        <v>http://enext.ua/p018010</v>
      </c>
    </row>
    <row r="3386" spans="2:7" ht="12" outlineLevel="3" x14ac:dyDescent="0.2">
      <c r="B3386" s="10"/>
      <c r="C3386" s="36" t="s">
        <v>6458</v>
      </c>
      <c r="D3386" s="10"/>
      <c r="E3386" s="11"/>
      <c r="F3386" s="11"/>
      <c r="G3386" s="10"/>
    </row>
    <row r="3387" spans="2:7" ht="11.25" outlineLevel="4" x14ac:dyDescent="0.2">
      <c r="B3387" s="14" t="s">
        <v>6459</v>
      </c>
      <c r="C3387" s="14" t="s">
        <v>6460</v>
      </c>
      <c r="D3387" s="14">
        <v>1</v>
      </c>
      <c r="E3387" s="15">
        <v>113.03</v>
      </c>
      <c r="F3387" s="16" t="s">
        <v>8</v>
      </c>
      <c r="G3387" s="38" t="str">
        <f>HYPERLINK("http://enext.ua/i0350002")</f>
        <v>http://enext.ua/i0350002</v>
      </c>
    </row>
    <row r="3388" spans="2:7" ht="11.25" outlineLevel="4" x14ac:dyDescent="0.2">
      <c r="B3388" s="14" t="s">
        <v>6461</v>
      </c>
      <c r="C3388" s="14" t="s">
        <v>6462</v>
      </c>
      <c r="D3388" s="14">
        <v>1</v>
      </c>
      <c r="E3388" s="15">
        <v>130.08000000000001</v>
      </c>
      <c r="F3388" s="16" t="s">
        <v>8</v>
      </c>
      <c r="G3388" s="38" t="str">
        <f>HYPERLINK("http://enext.ua/i0350001")</f>
        <v>http://enext.ua/i0350001</v>
      </c>
    </row>
    <row r="3389" spans="2:7" ht="11.25" outlineLevel="4" x14ac:dyDescent="0.2">
      <c r="B3389" s="14" t="s">
        <v>6463</v>
      </c>
      <c r="C3389" s="14" t="s">
        <v>6464</v>
      </c>
      <c r="D3389" s="14">
        <v>1</v>
      </c>
      <c r="E3389" s="15">
        <v>138.6</v>
      </c>
      <c r="F3389" s="16" t="s">
        <v>8</v>
      </c>
      <c r="G3389" s="38" t="str">
        <f>HYPERLINK("http://enext.ua/i0350004")</f>
        <v>http://enext.ua/i0350004</v>
      </c>
    </row>
    <row r="3390" spans="2:7" ht="11.25" outlineLevel="4" x14ac:dyDescent="0.2">
      <c r="B3390" s="14" t="s">
        <v>6465</v>
      </c>
      <c r="C3390" s="14" t="s">
        <v>6466</v>
      </c>
      <c r="D3390" s="14">
        <v>1</v>
      </c>
      <c r="E3390" s="15">
        <v>154.55000000000001</v>
      </c>
      <c r="F3390" s="16" t="s">
        <v>8</v>
      </c>
      <c r="G3390" s="38" t="str">
        <f>HYPERLINK("http://enext.ua/i0350003")</f>
        <v>http://enext.ua/i0350003</v>
      </c>
    </row>
    <row r="3391" spans="2:7" ht="11.25" outlineLevel="4" x14ac:dyDescent="0.2">
      <c r="B3391" s="14" t="s">
        <v>6467</v>
      </c>
      <c r="C3391" s="14" t="s">
        <v>6468</v>
      </c>
      <c r="D3391" s="14">
        <v>1</v>
      </c>
      <c r="E3391" s="15">
        <v>191.4</v>
      </c>
      <c r="F3391" s="16" t="s">
        <v>8</v>
      </c>
      <c r="G3391" s="38" t="str">
        <f>HYPERLINK("http://enext.ua/i0350006")</f>
        <v>http://enext.ua/i0350006</v>
      </c>
    </row>
    <row r="3392" spans="2:7" ht="11.25" outlineLevel="4" x14ac:dyDescent="0.2">
      <c r="B3392" s="14" t="s">
        <v>6469</v>
      </c>
      <c r="C3392" s="14" t="s">
        <v>6470</v>
      </c>
      <c r="D3392" s="14">
        <v>1</v>
      </c>
      <c r="E3392" s="15">
        <v>309.38</v>
      </c>
      <c r="F3392" s="16" t="s">
        <v>8</v>
      </c>
      <c r="G3392" s="38" t="str">
        <f>HYPERLINK("http://enext.ua/i0350005")</f>
        <v>http://enext.ua/i0350005</v>
      </c>
    </row>
    <row r="3393" spans="2:7" ht="11.25" outlineLevel="4" x14ac:dyDescent="0.2">
      <c r="B3393" s="14" t="s">
        <v>6471</v>
      </c>
      <c r="C3393" s="14" t="s">
        <v>6472</v>
      </c>
      <c r="D3393" s="14">
        <v>1</v>
      </c>
      <c r="E3393" s="15">
        <v>274.45</v>
      </c>
      <c r="F3393" s="16" t="s">
        <v>8</v>
      </c>
      <c r="G3393" s="38" t="str">
        <f>HYPERLINK("http://enext.ua/i0350008")</f>
        <v>http://enext.ua/i0350008</v>
      </c>
    </row>
    <row r="3394" spans="2:7" ht="11.25" outlineLevel="4" x14ac:dyDescent="0.2">
      <c r="B3394" s="14" t="s">
        <v>6473</v>
      </c>
      <c r="C3394" s="14" t="s">
        <v>6474</v>
      </c>
      <c r="D3394" s="14">
        <v>1</v>
      </c>
      <c r="E3394" s="15">
        <v>430.38</v>
      </c>
      <c r="F3394" s="16" t="s">
        <v>8</v>
      </c>
      <c r="G3394" s="38" t="str">
        <f>HYPERLINK("http://enext.ua/i0350007")</f>
        <v>http://enext.ua/i0350007</v>
      </c>
    </row>
    <row r="3395" spans="2:7" ht="11.25" outlineLevel="4" x14ac:dyDescent="0.2">
      <c r="B3395" s="14" t="s">
        <v>6475</v>
      </c>
      <c r="C3395" s="14" t="s">
        <v>6476</v>
      </c>
      <c r="D3395" s="14">
        <v>1</v>
      </c>
      <c r="E3395" s="15">
        <v>439.45</v>
      </c>
      <c r="F3395" s="16" t="s">
        <v>8</v>
      </c>
      <c r="G3395" s="38" t="str">
        <f>HYPERLINK("http://enext.ua/i0350010")</f>
        <v>http://enext.ua/i0350010</v>
      </c>
    </row>
    <row r="3396" spans="2:7" ht="11.25" outlineLevel="4" x14ac:dyDescent="0.2">
      <c r="B3396" s="14" t="s">
        <v>6477</v>
      </c>
      <c r="C3396" s="14" t="s">
        <v>6478</v>
      </c>
      <c r="D3396" s="14">
        <v>1</v>
      </c>
      <c r="E3396" s="15">
        <v>686.4</v>
      </c>
      <c r="F3396" s="16" t="s">
        <v>8</v>
      </c>
      <c r="G3396" s="38" t="str">
        <f>HYPERLINK("http://enext.ua/i0350009")</f>
        <v>http://enext.ua/i0350009</v>
      </c>
    </row>
    <row r="3397" spans="2:7" ht="12" outlineLevel="3" x14ac:dyDescent="0.2">
      <c r="B3397" s="10"/>
      <c r="C3397" s="36" t="s">
        <v>6479</v>
      </c>
      <c r="D3397" s="10"/>
      <c r="E3397" s="11"/>
      <c r="F3397" s="11"/>
      <c r="G3397" s="10"/>
    </row>
    <row r="3398" spans="2:7" ht="11.25" outlineLevel="4" x14ac:dyDescent="0.2">
      <c r="B3398" s="14" t="s">
        <v>6480</v>
      </c>
      <c r="C3398" s="14" t="s">
        <v>6481</v>
      </c>
      <c r="D3398" s="14">
        <v>1</v>
      </c>
      <c r="E3398" s="15">
        <v>115.18</v>
      </c>
      <c r="F3398" s="16" t="s">
        <v>8</v>
      </c>
      <c r="G3398" s="38" t="str">
        <f>HYPERLINK("http://enext.ua/042")</f>
        <v>http://enext.ua/042</v>
      </c>
    </row>
    <row r="3399" spans="2:7" ht="11.25" outlineLevel="4" x14ac:dyDescent="0.2">
      <c r="B3399" s="14" t="s">
        <v>6482</v>
      </c>
      <c r="C3399" s="14" t="s">
        <v>6483</v>
      </c>
      <c r="D3399" s="14">
        <v>1</v>
      </c>
      <c r="E3399" s="15">
        <v>805.85</v>
      </c>
      <c r="F3399" s="16" t="s">
        <v>8</v>
      </c>
      <c r="G3399" s="38" t="str">
        <f>HYPERLINK("http://enext.ua/9110-000")</f>
        <v>http://enext.ua/9110-000</v>
      </c>
    </row>
    <row r="3400" spans="2:7" ht="11.25" outlineLevel="4" x14ac:dyDescent="0.2">
      <c r="B3400" s="14" t="s">
        <v>6484</v>
      </c>
      <c r="C3400" s="14" t="s">
        <v>6485</v>
      </c>
      <c r="D3400" s="14">
        <v>1</v>
      </c>
      <c r="E3400" s="15">
        <v>880.78</v>
      </c>
      <c r="F3400" s="16" t="s">
        <v>8</v>
      </c>
      <c r="G3400" s="38" t="str">
        <f>HYPERLINK("http://enext.ua/9110-125")</f>
        <v>http://enext.ua/9110-125</v>
      </c>
    </row>
    <row r="3401" spans="2:7" ht="11.25" outlineLevel="4" x14ac:dyDescent="0.2">
      <c r="B3401" s="14" t="s">
        <v>6486</v>
      </c>
      <c r="C3401" s="14" t="s">
        <v>6487</v>
      </c>
      <c r="D3401" s="14">
        <v>1</v>
      </c>
      <c r="E3401" s="15">
        <v>527.35</v>
      </c>
      <c r="F3401" s="16" t="s">
        <v>8</v>
      </c>
      <c r="G3401" s="38" t="str">
        <f>HYPERLINK("http://enext.ua/058")</f>
        <v>http://enext.ua/058</v>
      </c>
    </row>
    <row r="3402" spans="2:7" ht="11.25" outlineLevel="4" x14ac:dyDescent="0.2">
      <c r="B3402" s="14" t="s">
        <v>6488</v>
      </c>
      <c r="C3402" s="14" t="s">
        <v>6489</v>
      </c>
      <c r="D3402" s="14">
        <v>1</v>
      </c>
      <c r="E3402" s="15">
        <v>691.35</v>
      </c>
      <c r="F3402" s="16" t="s">
        <v>8</v>
      </c>
      <c r="G3402" s="38" t="str">
        <f>HYPERLINK("http://enext.ua/059")</f>
        <v>http://enext.ua/059</v>
      </c>
    </row>
    <row r="3403" spans="2:7" ht="11.25" outlineLevel="4" x14ac:dyDescent="0.2">
      <c r="B3403" s="14" t="s">
        <v>6490</v>
      </c>
      <c r="C3403" s="14" t="s">
        <v>6491</v>
      </c>
      <c r="D3403" s="14">
        <v>1</v>
      </c>
      <c r="E3403" s="17">
        <v>1559.59</v>
      </c>
      <c r="F3403" s="16" t="s">
        <v>8</v>
      </c>
      <c r="G3403" s="38" t="str">
        <f>HYPERLINK("http://enext.ua/9301-000")</f>
        <v>http://enext.ua/9301-000</v>
      </c>
    </row>
    <row r="3404" spans="2:7" ht="11.25" outlineLevel="4" x14ac:dyDescent="0.2">
      <c r="B3404" s="14" t="s">
        <v>6492</v>
      </c>
      <c r="C3404" s="14" t="s">
        <v>6493</v>
      </c>
      <c r="D3404" s="14">
        <v>12</v>
      </c>
      <c r="E3404" s="15">
        <v>341.56</v>
      </c>
      <c r="F3404" s="16" t="s">
        <v>8</v>
      </c>
      <c r="G3404" s="38" t="str">
        <f>HYPERLINK("http://enext.ua/038")</f>
        <v>http://enext.ua/038</v>
      </c>
    </row>
    <row r="3405" spans="2:7" ht="11.25" outlineLevel="4" x14ac:dyDescent="0.2">
      <c r="B3405" s="14" t="s">
        <v>6494</v>
      </c>
      <c r="C3405" s="14" t="s">
        <v>6495</v>
      </c>
      <c r="D3405" s="14">
        <v>2</v>
      </c>
      <c r="E3405" s="15">
        <v>658.36</v>
      </c>
      <c r="F3405" s="16" t="s">
        <v>8</v>
      </c>
      <c r="G3405" s="38" t="str">
        <f>HYPERLINK("http://enext.ua/039")</f>
        <v>http://enext.ua/039</v>
      </c>
    </row>
    <row r="3406" spans="2:7" ht="11.25" outlineLevel="4" x14ac:dyDescent="0.2">
      <c r="B3406" s="14" t="s">
        <v>6496</v>
      </c>
      <c r="C3406" s="14" t="s">
        <v>6497</v>
      </c>
      <c r="D3406" s="14">
        <v>15</v>
      </c>
      <c r="E3406" s="15">
        <v>268.95</v>
      </c>
      <c r="F3406" s="16" t="s">
        <v>8</v>
      </c>
      <c r="G3406" s="38" t="str">
        <f>HYPERLINK("http://enext.ua/037")</f>
        <v>http://enext.ua/037</v>
      </c>
    </row>
    <row r="3407" spans="2:7" ht="11.25" outlineLevel="4" x14ac:dyDescent="0.2">
      <c r="B3407" s="14" t="s">
        <v>6498</v>
      </c>
      <c r="C3407" s="14" t="s">
        <v>6499</v>
      </c>
      <c r="D3407" s="14">
        <v>1</v>
      </c>
      <c r="E3407" s="15">
        <v>973.83</v>
      </c>
      <c r="F3407" s="16" t="s">
        <v>8</v>
      </c>
      <c r="G3407" s="38" t="str">
        <f>HYPERLINK("http://enext.ua/040")</f>
        <v>http://enext.ua/040</v>
      </c>
    </row>
    <row r="3408" spans="2:7" ht="11.25" outlineLevel="4" x14ac:dyDescent="0.2">
      <c r="B3408" s="14" t="s">
        <v>6500</v>
      </c>
      <c r="C3408" s="14" t="s">
        <v>6501</v>
      </c>
      <c r="D3408" s="14">
        <v>1</v>
      </c>
      <c r="E3408" s="17">
        <v>1342.4</v>
      </c>
      <c r="F3408" s="16" t="s">
        <v>8</v>
      </c>
      <c r="G3408" s="38" t="str">
        <f>HYPERLINK("http://enext.ua/057+040")</f>
        <v>http://enext.ua/057+040</v>
      </c>
    </row>
    <row r="3409" spans="2:7" ht="22.5" outlineLevel="4" x14ac:dyDescent="0.2">
      <c r="B3409" s="14" t="s">
        <v>6502</v>
      </c>
      <c r="C3409" s="14" t="s">
        <v>6503</v>
      </c>
      <c r="D3409" s="14">
        <v>1</v>
      </c>
      <c r="E3409" s="17">
        <v>1274.83</v>
      </c>
      <c r="F3409" s="16" t="s">
        <v>8</v>
      </c>
      <c r="G3409" s="38" t="str">
        <f>HYPERLINK("http://enext.ua/062")</f>
        <v>http://enext.ua/062</v>
      </c>
    </row>
    <row r="3410" spans="2:7" ht="11.25" outlineLevel="4" x14ac:dyDescent="0.2">
      <c r="B3410" s="14" t="s">
        <v>6504</v>
      </c>
      <c r="C3410" s="14" t="s">
        <v>6505</v>
      </c>
      <c r="D3410" s="14">
        <v>1</v>
      </c>
      <c r="E3410" s="17">
        <v>1253.3499999999999</v>
      </c>
      <c r="F3410" s="16" t="s">
        <v>8</v>
      </c>
      <c r="G3410" s="38" t="str">
        <f>HYPERLINK("http://enext.ua/060")</f>
        <v>http://enext.ua/060</v>
      </c>
    </row>
    <row r="3411" spans="2:7" ht="11.25" outlineLevel="4" x14ac:dyDescent="0.2">
      <c r="B3411" s="14" t="s">
        <v>6506</v>
      </c>
      <c r="C3411" s="14" t="s">
        <v>6507</v>
      </c>
      <c r="D3411" s="14">
        <v>1</v>
      </c>
      <c r="E3411" s="15">
        <v>906.68</v>
      </c>
      <c r="F3411" s="16" t="s">
        <v>8</v>
      </c>
      <c r="G3411" s="38" t="str">
        <f>HYPERLINK("http://enext.ua/061")</f>
        <v>http://enext.ua/061</v>
      </c>
    </row>
    <row r="3412" spans="2:7" ht="11.25" outlineLevel="4" x14ac:dyDescent="0.2">
      <c r="B3412" s="14" t="s">
        <v>6508</v>
      </c>
      <c r="C3412" s="14" t="s">
        <v>6509</v>
      </c>
      <c r="D3412" s="14">
        <v>1</v>
      </c>
      <c r="E3412" s="17">
        <v>1319.55</v>
      </c>
      <c r="F3412" s="16" t="s">
        <v>8</v>
      </c>
      <c r="G3412" s="38" t="str">
        <f>HYPERLINK("http://enext.ua/9303-000")</f>
        <v>http://enext.ua/9303-000</v>
      </c>
    </row>
    <row r="3413" spans="2:7" ht="11.25" outlineLevel="4" x14ac:dyDescent="0.2">
      <c r="B3413" s="14" t="s">
        <v>6510</v>
      </c>
      <c r="C3413" s="14" t="s">
        <v>6511</v>
      </c>
      <c r="D3413" s="14">
        <v>1</v>
      </c>
      <c r="E3413" s="17">
        <v>1065.79</v>
      </c>
      <c r="F3413" s="16" t="s">
        <v>8</v>
      </c>
      <c r="G3413" s="38" t="str">
        <f>HYPERLINK("http://enext.ua/9303-001")</f>
        <v>http://enext.ua/9303-001</v>
      </c>
    </row>
    <row r="3414" spans="2:7" ht="11.25" outlineLevel="4" x14ac:dyDescent="0.2">
      <c r="B3414" s="14" t="s">
        <v>6512</v>
      </c>
      <c r="C3414" s="14" t="s">
        <v>6513</v>
      </c>
      <c r="D3414" s="14">
        <v>1</v>
      </c>
      <c r="E3414" s="17">
        <v>1461.3</v>
      </c>
      <c r="F3414" s="16" t="s">
        <v>8</v>
      </c>
      <c r="G3414" s="38" t="str">
        <f>HYPERLINK("http://enext.ua/9301-001")</f>
        <v>http://enext.ua/9301-001</v>
      </c>
    </row>
    <row r="3415" spans="2:7" ht="11.25" outlineLevel="4" x14ac:dyDescent="0.2">
      <c r="B3415" s="14" t="s">
        <v>6514</v>
      </c>
      <c r="C3415" s="14" t="s">
        <v>6515</v>
      </c>
      <c r="D3415" s="14">
        <v>1</v>
      </c>
      <c r="E3415" s="17">
        <v>2751.39</v>
      </c>
      <c r="F3415" s="16" t="s">
        <v>8</v>
      </c>
      <c r="G3415" s="38" t="str">
        <f>HYPERLINK("http://enext.ua/9401-000")</f>
        <v>http://enext.ua/9401-000</v>
      </c>
    </row>
    <row r="3416" spans="2:7" ht="11.25" outlineLevel="4" x14ac:dyDescent="0.2">
      <c r="B3416" s="14" t="s">
        <v>6516</v>
      </c>
      <c r="C3416" s="14" t="s">
        <v>6517</v>
      </c>
      <c r="D3416" s="14">
        <v>1</v>
      </c>
      <c r="E3416" s="17">
        <v>2393.89</v>
      </c>
      <c r="F3416" s="16" t="s">
        <v>8</v>
      </c>
      <c r="G3416" s="38" t="str">
        <f>HYPERLINK("http://enext.ua/9402-000")</f>
        <v>http://enext.ua/9402-000</v>
      </c>
    </row>
    <row r="3417" spans="2:7" ht="11.25" outlineLevel="4" x14ac:dyDescent="0.2">
      <c r="B3417" s="14" t="s">
        <v>6518</v>
      </c>
      <c r="C3417" s="14" t="s">
        <v>6519</v>
      </c>
      <c r="D3417" s="14">
        <v>1</v>
      </c>
      <c r="E3417" s="17">
        <v>5096.8</v>
      </c>
      <c r="F3417" s="16" t="s">
        <v>8</v>
      </c>
      <c r="G3417" s="38" t="str">
        <f>HYPERLINK("http://enext.ua/9703-000")</f>
        <v>http://enext.ua/9703-000</v>
      </c>
    </row>
    <row r="3418" spans="2:7" ht="12" outlineLevel="3" x14ac:dyDescent="0.2">
      <c r="B3418" s="10"/>
      <c r="C3418" s="36" t="s">
        <v>6520</v>
      </c>
      <c r="D3418" s="10"/>
      <c r="E3418" s="11"/>
      <c r="F3418" s="11"/>
      <c r="G3418" s="10"/>
    </row>
    <row r="3419" spans="2:7" ht="22.5" outlineLevel="4" x14ac:dyDescent="0.2">
      <c r="B3419" s="14" t="s">
        <v>6521</v>
      </c>
      <c r="C3419" s="14" t="s">
        <v>6522</v>
      </c>
      <c r="D3419" s="14">
        <v>1</v>
      </c>
      <c r="E3419" s="15">
        <v>138.83000000000001</v>
      </c>
      <c r="F3419" s="16" t="s">
        <v>8</v>
      </c>
      <c r="G3419" s="38" t="str">
        <f>HYPERLINK("http://enext.ua/2007077")</f>
        <v>http://enext.ua/2007077</v>
      </c>
    </row>
    <row r="3420" spans="2:7" ht="22.5" outlineLevel="4" x14ac:dyDescent="0.2">
      <c r="B3420" s="14" t="s">
        <v>6523</v>
      </c>
      <c r="C3420" s="14" t="s">
        <v>6524</v>
      </c>
      <c r="D3420" s="14">
        <v>1</v>
      </c>
      <c r="E3420" s="15">
        <v>984.99</v>
      </c>
      <c r="F3420" s="16" t="s">
        <v>8</v>
      </c>
      <c r="G3420" s="14"/>
    </row>
    <row r="3421" spans="2:7" ht="22.5" outlineLevel="4" x14ac:dyDescent="0.2">
      <c r="B3421" s="14" t="s">
        <v>6525</v>
      </c>
      <c r="C3421" s="14" t="s">
        <v>6526</v>
      </c>
      <c r="D3421" s="14">
        <v>1</v>
      </c>
      <c r="E3421" s="15">
        <v>124.28</v>
      </c>
      <c r="F3421" s="16" t="s">
        <v>8</v>
      </c>
      <c r="G3421" s="38" t="str">
        <f>HYPERLINK("http://enext.ua/2007255")</f>
        <v>http://enext.ua/2007255</v>
      </c>
    </row>
    <row r="3422" spans="2:7" ht="22.5" outlineLevel="4" x14ac:dyDescent="0.2">
      <c r="B3422" s="14" t="s">
        <v>6527</v>
      </c>
      <c r="C3422" s="14" t="s">
        <v>6528</v>
      </c>
      <c r="D3422" s="14">
        <v>1</v>
      </c>
      <c r="E3422" s="15">
        <v>187.67</v>
      </c>
      <c r="F3422" s="16" t="s">
        <v>8</v>
      </c>
      <c r="G3422" s="38" t="str">
        <f>HYPERLINK("http://enext.ua/2007093")</f>
        <v>http://enext.ua/2007093</v>
      </c>
    </row>
    <row r="3423" spans="2:7" ht="22.5" outlineLevel="4" x14ac:dyDescent="0.2">
      <c r="B3423" s="14" t="s">
        <v>6529</v>
      </c>
      <c r="C3423" s="14" t="s">
        <v>6530</v>
      </c>
      <c r="D3423" s="14">
        <v>1</v>
      </c>
      <c r="E3423" s="17">
        <v>1851.42</v>
      </c>
      <c r="F3423" s="16" t="s">
        <v>8</v>
      </c>
      <c r="G3423" s="14"/>
    </row>
    <row r="3424" spans="2:7" ht="22.5" outlineLevel="4" x14ac:dyDescent="0.2">
      <c r="B3424" s="14" t="s">
        <v>6531</v>
      </c>
      <c r="C3424" s="14" t="s">
        <v>6532</v>
      </c>
      <c r="D3424" s="14">
        <v>1</v>
      </c>
      <c r="E3424" s="17">
        <v>1702.64</v>
      </c>
      <c r="F3424" s="16" t="s">
        <v>8</v>
      </c>
      <c r="G3424" s="14"/>
    </row>
    <row r="3425" spans="2:7" ht="22.5" outlineLevel="4" x14ac:dyDescent="0.2">
      <c r="B3425" s="14" t="s">
        <v>6533</v>
      </c>
      <c r="C3425" s="14" t="s">
        <v>6534</v>
      </c>
      <c r="D3425" s="14">
        <v>1</v>
      </c>
      <c r="E3425" s="15">
        <v>170.57</v>
      </c>
      <c r="F3425" s="16" t="s">
        <v>8</v>
      </c>
      <c r="G3425" s="38" t="str">
        <f>HYPERLINK("http://enext.ua/2007271")</f>
        <v>http://enext.ua/2007271</v>
      </c>
    </row>
    <row r="3426" spans="2:7" ht="22.5" outlineLevel="4" x14ac:dyDescent="0.2">
      <c r="B3426" s="14" t="s">
        <v>6535</v>
      </c>
      <c r="C3426" s="14" t="s">
        <v>6536</v>
      </c>
      <c r="D3426" s="14">
        <v>1</v>
      </c>
      <c r="E3426" s="15">
        <v>31.55</v>
      </c>
      <c r="F3426" s="16" t="s">
        <v>8</v>
      </c>
      <c r="G3426" s="38" t="str">
        <f>HYPERLINK("http://enext.ua/2007029")</f>
        <v>http://enext.ua/2007029</v>
      </c>
    </row>
    <row r="3427" spans="2:7" ht="22.5" outlineLevel="4" x14ac:dyDescent="0.2">
      <c r="B3427" s="14" t="s">
        <v>6537</v>
      </c>
      <c r="C3427" s="14" t="s">
        <v>6538</v>
      </c>
      <c r="D3427" s="14">
        <v>1</v>
      </c>
      <c r="E3427" s="15">
        <v>264.36</v>
      </c>
      <c r="F3427" s="16" t="s">
        <v>8</v>
      </c>
      <c r="G3427" s="38" t="str">
        <f>HYPERLINK("http://enext.ua/2007109")</f>
        <v>http://enext.ua/2007109</v>
      </c>
    </row>
    <row r="3428" spans="2:7" ht="22.5" outlineLevel="4" x14ac:dyDescent="0.2">
      <c r="B3428" s="14" t="s">
        <v>6539</v>
      </c>
      <c r="C3428" s="14" t="s">
        <v>6540</v>
      </c>
      <c r="D3428" s="14">
        <v>1</v>
      </c>
      <c r="E3428" s="15">
        <v>277.68</v>
      </c>
      <c r="F3428" s="16" t="s">
        <v>8</v>
      </c>
      <c r="G3428" s="38" t="str">
        <f>HYPERLINK("http://enext.ua/2007287")</f>
        <v>http://enext.ua/2007287</v>
      </c>
    </row>
    <row r="3429" spans="2:7" ht="22.5" outlineLevel="4" x14ac:dyDescent="0.2">
      <c r="B3429" s="14" t="s">
        <v>6541</v>
      </c>
      <c r="C3429" s="14" t="s">
        <v>6542</v>
      </c>
      <c r="D3429" s="14">
        <v>1</v>
      </c>
      <c r="E3429" s="15">
        <v>660.47</v>
      </c>
      <c r="F3429" s="16" t="s">
        <v>8</v>
      </c>
      <c r="G3429" s="38" t="str">
        <f>HYPERLINK("http://enext.ua/2007125")</f>
        <v>http://enext.ua/2007125</v>
      </c>
    </row>
    <row r="3430" spans="2:7" ht="22.5" outlineLevel="4" x14ac:dyDescent="0.2">
      <c r="B3430" s="14" t="s">
        <v>6543</v>
      </c>
      <c r="C3430" s="14" t="s">
        <v>6544</v>
      </c>
      <c r="D3430" s="14">
        <v>1</v>
      </c>
      <c r="E3430" s="15">
        <v>608.27</v>
      </c>
      <c r="F3430" s="16" t="s">
        <v>8</v>
      </c>
      <c r="G3430" s="38" t="str">
        <f>HYPERLINK("http://enext.ua/2007303")</f>
        <v>http://enext.ua/2007303</v>
      </c>
    </row>
    <row r="3431" spans="2:7" ht="22.5" outlineLevel="4" x14ac:dyDescent="0.2">
      <c r="B3431" s="14" t="s">
        <v>6545</v>
      </c>
      <c r="C3431" s="14" t="s">
        <v>6546</v>
      </c>
      <c r="D3431" s="14">
        <v>1</v>
      </c>
      <c r="E3431" s="15">
        <v>37.29</v>
      </c>
      <c r="F3431" s="16" t="s">
        <v>8</v>
      </c>
      <c r="G3431" s="38" t="str">
        <f>HYPERLINK("http://enext.ua/2007045")</f>
        <v>http://enext.ua/2007045</v>
      </c>
    </row>
    <row r="3432" spans="2:7" ht="11.25" outlineLevel="4" x14ac:dyDescent="0.2">
      <c r="B3432" s="14" t="s">
        <v>6547</v>
      </c>
      <c r="C3432" s="14" t="s">
        <v>6548</v>
      </c>
      <c r="D3432" s="14">
        <v>1</v>
      </c>
      <c r="E3432" s="15">
        <v>42.98</v>
      </c>
      <c r="F3432" s="16" t="s">
        <v>8</v>
      </c>
      <c r="G3432" s="38" t="str">
        <f>HYPERLINK("http://enext.ua/2007223")</f>
        <v>http://enext.ua/2007223</v>
      </c>
    </row>
    <row r="3433" spans="2:7" ht="22.5" outlineLevel="4" x14ac:dyDescent="0.2">
      <c r="B3433" s="14" t="s">
        <v>6549</v>
      </c>
      <c r="C3433" s="14" t="s">
        <v>6550</v>
      </c>
      <c r="D3433" s="14">
        <v>1</v>
      </c>
      <c r="E3433" s="15">
        <v>79.42</v>
      </c>
      <c r="F3433" s="16" t="s">
        <v>8</v>
      </c>
      <c r="G3433" s="38" t="str">
        <f>HYPERLINK("http://enext.ua/2007061")</f>
        <v>http://enext.ua/2007061</v>
      </c>
    </row>
    <row r="3434" spans="2:7" ht="22.5" outlineLevel="4" x14ac:dyDescent="0.2">
      <c r="B3434" s="14" t="s">
        <v>6551</v>
      </c>
      <c r="C3434" s="14" t="s">
        <v>6552</v>
      </c>
      <c r="D3434" s="14">
        <v>1</v>
      </c>
      <c r="E3434" s="15">
        <v>87.46</v>
      </c>
      <c r="F3434" s="16" t="s">
        <v>8</v>
      </c>
      <c r="G3434" s="38" t="str">
        <f>HYPERLINK("http://enext.ua/2007239")</f>
        <v>http://enext.ua/2007239</v>
      </c>
    </row>
    <row r="3435" spans="2:7" ht="12" outlineLevel="3" x14ac:dyDescent="0.2">
      <c r="B3435" s="10"/>
      <c r="C3435" s="36" t="s">
        <v>6553</v>
      </c>
      <c r="D3435" s="10"/>
      <c r="E3435" s="11"/>
      <c r="F3435" s="11"/>
      <c r="G3435" s="10"/>
    </row>
    <row r="3436" spans="2:7" ht="11.25" outlineLevel="4" x14ac:dyDescent="0.2">
      <c r="B3436" s="14" t="s">
        <v>6554</v>
      </c>
      <c r="C3436" s="14" t="s">
        <v>6555</v>
      </c>
      <c r="D3436" s="14">
        <v>1</v>
      </c>
      <c r="E3436" s="15">
        <v>112.04</v>
      </c>
      <c r="F3436" s="16" t="s">
        <v>8</v>
      </c>
      <c r="G3436" s="38" t="str">
        <f>HYPERLINK("http://enext.ua/s062001")</f>
        <v>http://enext.ua/s062001</v>
      </c>
    </row>
    <row r="3437" spans="2:7" ht="11.25" outlineLevel="4" x14ac:dyDescent="0.2">
      <c r="B3437" s="14" t="s">
        <v>6556</v>
      </c>
      <c r="C3437" s="14" t="s">
        <v>6557</v>
      </c>
      <c r="D3437" s="14">
        <v>1</v>
      </c>
      <c r="E3437" s="15">
        <v>207.05</v>
      </c>
      <c r="F3437" s="16" t="s">
        <v>8</v>
      </c>
      <c r="G3437" s="38" t="str">
        <f>HYPERLINK("http://enext.ua/s062004")</f>
        <v>http://enext.ua/s062004</v>
      </c>
    </row>
    <row r="3438" spans="2:7" ht="11.25" outlineLevel="4" x14ac:dyDescent="0.2">
      <c r="B3438" s="14" t="s">
        <v>6558</v>
      </c>
      <c r="C3438" s="14" t="s">
        <v>6559</v>
      </c>
      <c r="D3438" s="14">
        <v>1</v>
      </c>
      <c r="E3438" s="15">
        <v>236.84</v>
      </c>
      <c r="F3438" s="16" t="s">
        <v>8</v>
      </c>
      <c r="G3438" s="38" t="str">
        <f>HYPERLINK("http://enext.ua/s062002")</f>
        <v>http://enext.ua/s062002</v>
      </c>
    </row>
    <row r="3439" spans="2:7" ht="11.25" outlineLevel="4" x14ac:dyDescent="0.2">
      <c r="B3439" s="14" t="s">
        <v>6560</v>
      </c>
      <c r="C3439" s="14" t="s">
        <v>6561</v>
      </c>
      <c r="D3439" s="14">
        <v>1</v>
      </c>
      <c r="E3439" s="15">
        <v>340.36</v>
      </c>
      <c r="F3439" s="16" t="s">
        <v>8</v>
      </c>
      <c r="G3439" s="38" t="str">
        <f>HYPERLINK("http://enext.ua/s062005")</f>
        <v>http://enext.ua/s062005</v>
      </c>
    </row>
    <row r="3440" spans="2:7" ht="11.25" outlineLevel="4" x14ac:dyDescent="0.2">
      <c r="B3440" s="14" t="s">
        <v>6562</v>
      </c>
      <c r="C3440" s="14" t="s">
        <v>6563</v>
      </c>
      <c r="D3440" s="14">
        <v>1</v>
      </c>
      <c r="E3440" s="15">
        <v>351.71</v>
      </c>
      <c r="F3440" s="16" t="s">
        <v>8</v>
      </c>
      <c r="G3440" s="38" t="str">
        <f>HYPERLINK("http://enext.ua/s062003")</f>
        <v>http://enext.ua/s062003</v>
      </c>
    </row>
    <row r="3441" spans="2:7" ht="11.25" outlineLevel="4" x14ac:dyDescent="0.2">
      <c r="B3441" s="14" t="s">
        <v>6564</v>
      </c>
      <c r="C3441" s="14" t="s">
        <v>6565</v>
      </c>
      <c r="D3441" s="14">
        <v>1</v>
      </c>
      <c r="E3441" s="15">
        <v>472.25</v>
      </c>
      <c r="F3441" s="16" t="s">
        <v>8</v>
      </c>
      <c r="G3441" s="38" t="str">
        <f>HYPERLINK("http://enext.ua/s062006")</f>
        <v>http://enext.ua/s062006</v>
      </c>
    </row>
    <row r="3442" spans="2:7" ht="12" outlineLevel="3" x14ac:dyDescent="0.2">
      <c r="B3442" s="10"/>
      <c r="C3442" s="36" t="s">
        <v>6566</v>
      </c>
      <c r="D3442" s="10"/>
      <c r="E3442" s="11"/>
      <c r="F3442" s="11"/>
      <c r="G3442" s="10"/>
    </row>
    <row r="3443" spans="2:7" ht="11.25" outlineLevel="4" x14ac:dyDescent="0.2">
      <c r="B3443" s="14" t="s">
        <v>6567</v>
      </c>
      <c r="C3443" s="14" t="s">
        <v>6568</v>
      </c>
      <c r="D3443" s="14">
        <v>10</v>
      </c>
      <c r="E3443" s="15">
        <v>952.89</v>
      </c>
      <c r="F3443" s="16" t="s">
        <v>8</v>
      </c>
      <c r="G3443" s="38" t="str">
        <f>HYPERLINK("http://enext.ua/016")</f>
        <v>http://enext.ua/016</v>
      </c>
    </row>
    <row r="3444" spans="2:7" ht="11.25" outlineLevel="4" x14ac:dyDescent="0.2">
      <c r="B3444" s="14" t="s">
        <v>6569</v>
      </c>
      <c r="C3444" s="14" t="s">
        <v>6570</v>
      </c>
      <c r="D3444" s="14">
        <v>10</v>
      </c>
      <c r="E3444" s="17">
        <v>1053.95</v>
      </c>
      <c r="F3444" s="16" t="s">
        <v>8</v>
      </c>
      <c r="G3444" s="38" t="str">
        <f>HYPERLINK("http://enext.ua/017")</f>
        <v>http://enext.ua/017</v>
      </c>
    </row>
    <row r="3445" spans="2:7" ht="11.25" outlineLevel="4" x14ac:dyDescent="0.2">
      <c r="B3445" s="14" t="s">
        <v>6571</v>
      </c>
      <c r="C3445" s="14" t="s">
        <v>6572</v>
      </c>
      <c r="D3445" s="14">
        <v>10</v>
      </c>
      <c r="E3445" s="17">
        <v>1089</v>
      </c>
      <c r="F3445" s="16" t="s">
        <v>8</v>
      </c>
      <c r="G3445" s="38" t="str">
        <f>HYPERLINK("http://enext.ua/015")</f>
        <v>http://enext.ua/015</v>
      </c>
    </row>
    <row r="3446" spans="2:7" ht="11.25" outlineLevel="4" x14ac:dyDescent="0.2">
      <c r="B3446" s="14" t="s">
        <v>6573</v>
      </c>
      <c r="C3446" s="14" t="s">
        <v>6574</v>
      </c>
      <c r="D3446" s="14">
        <v>10</v>
      </c>
      <c r="E3446" s="17">
        <v>1264.31</v>
      </c>
      <c r="F3446" s="16" t="s">
        <v>8</v>
      </c>
      <c r="G3446" s="38" t="str">
        <f>HYPERLINK("http://enext.ua/019")</f>
        <v>http://enext.ua/019</v>
      </c>
    </row>
    <row r="3447" spans="2:7" ht="11.25" outlineLevel="4" x14ac:dyDescent="0.2">
      <c r="B3447" s="14" t="s">
        <v>6575</v>
      </c>
      <c r="C3447" s="14" t="s">
        <v>6576</v>
      </c>
      <c r="D3447" s="14">
        <v>10</v>
      </c>
      <c r="E3447" s="15">
        <v>998.26</v>
      </c>
      <c r="F3447" s="16" t="s">
        <v>8</v>
      </c>
      <c r="G3447" s="38" t="str">
        <f>HYPERLINK("http://enext.ua/022")</f>
        <v>http://enext.ua/022</v>
      </c>
    </row>
    <row r="3448" spans="2:7" ht="11.25" outlineLevel="4" x14ac:dyDescent="0.2">
      <c r="B3448" s="14" t="s">
        <v>6577</v>
      </c>
      <c r="C3448" s="14" t="s">
        <v>6578</v>
      </c>
      <c r="D3448" s="14">
        <v>10</v>
      </c>
      <c r="E3448" s="15">
        <v>794.07</v>
      </c>
      <c r="F3448" s="16" t="s">
        <v>8</v>
      </c>
      <c r="G3448" s="38" t="str">
        <f>HYPERLINK("http://enext.ua/020")</f>
        <v>http://enext.ua/020</v>
      </c>
    </row>
    <row r="3449" spans="2:7" ht="11.25" outlineLevel="4" x14ac:dyDescent="0.2">
      <c r="B3449" s="14" t="s">
        <v>6579</v>
      </c>
      <c r="C3449" s="14" t="s">
        <v>6580</v>
      </c>
      <c r="D3449" s="14">
        <v>10</v>
      </c>
      <c r="E3449" s="17">
        <v>1305.57</v>
      </c>
      <c r="F3449" s="16" t="s">
        <v>8</v>
      </c>
      <c r="G3449" s="38" t="str">
        <f>HYPERLINK("http://enext.ua/023")</f>
        <v>http://enext.ua/023</v>
      </c>
    </row>
    <row r="3450" spans="2:7" ht="11.25" outlineLevel="4" x14ac:dyDescent="0.2">
      <c r="B3450" s="14" t="s">
        <v>6581</v>
      </c>
      <c r="C3450" s="14" t="s">
        <v>6582</v>
      </c>
      <c r="D3450" s="14">
        <v>10</v>
      </c>
      <c r="E3450" s="15">
        <v>794.07</v>
      </c>
      <c r="F3450" s="16" t="s">
        <v>8</v>
      </c>
      <c r="G3450" s="38" t="str">
        <f>HYPERLINK("http://enext.ua/021")</f>
        <v>http://enext.ua/021</v>
      </c>
    </row>
    <row r="3451" spans="2:7" ht="11.25" outlineLevel="4" x14ac:dyDescent="0.2">
      <c r="B3451" s="14" t="s">
        <v>6583</v>
      </c>
      <c r="C3451" s="14" t="s">
        <v>6584</v>
      </c>
      <c r="D3451" s="14">
        <v>1</v>
      </c>
      <c r="E3451" s="15">
        <v>636.08000000000004</v>
      </c>
      <c r="F3451" s="16" t="s">
        <v>8</v>
      </c>
      <c r="G3451" s="38" t="str">
        <f>HYPERLINK("http://enext.ua/025")</f>
        <v>http://enext.ua/025</v>
      </c>
    </row>
    <row r="3452" spans="2:7" ht="11.25" outlineLevel="4" x14ac:dyDescent="0.2">
      <c r="B3452" s="14" t="s">
        <v>6585</v>
      </c>
      <c r="C3452" s="14" t="s">
        <v>6586</v>
      </c>
      <c r="D3452" s="14">
        <v>10</v>
      </c>
      <c r="E3452" s="17">
        <v>1044.46</v>
      </c>
      <c r="F3452" s="16" t="s">
        <v>8</v>
      </c>
      <c r="G3452" s="38" t="str">
        <f>HYPERLINK("http://enext.ua/026")</f>
        <v>http://enext.ua/026</v>
      </c>
    </row>
    <row r="3453" spans="2:7" ht="11.25" outlineLevel="4" x14ac:dyDescent="0.2">
      <c r="B3453" s="14" t="s">
        <v>6587</v>
      </c>
      <c r="C3453" s="14" t="s">
        <v>6588</v>
      </c>
      <c r="D3453" s="14">
        <v>10</v>
      </c>
      <c r="E3453" s="17">
        <v>1305.57</v>
      </c>
      <c r="F3453" s="16" t="s">
        <v>8</v>
      </c>
      <c r="G3453" s="38" t="str">
        <f>HYPERLINK("http://enext.ua/027")</f>
        <v>http://enext.ua/027</v>
      </c>
    </row>
    <row r="3454" spans="2:7" ht="11.25" outlineLevel="4" x14ac:dyDescent="0.2">
      <c r="B3454" s="14" t="s">
        <v>6589</v>
      </c>
      <c r="C3454" s="14" t="s">
        <v>6590</v>
      </c>
      <c r="D3454" s="14">
        <v>5</v>
      </c>
      <c r="E3454" s="17">
        <v>2636.87</v>
      </c>
      <c r="F3454" s="16" t="s">
        <v>8</v>
      </c>
      <c r="G3454" s="38" t="str">
        <f>HYPERLINK("http://enext.ua/068/5")</f>
        <v>http://enext.ua/068/5</v>
      </c>
    </row>
    <row r="3455" spans="2:7" ht="11.25" outlineLevel="4" x14ac:dyDescent="0.2">
      <c r="B3455" s="14" t="s">
        <v>6591</v>
      </c>
      <c r="C3455" s="14" t="s">
        <v>6592</v>
      </c>
      <c r="D3455" s="14">
        <v>5</v>
      </c>
      <c r="E3455" s="17">
        <v>1464.93</v>
      </c>
      <c r="F3455" s="16" t="s">
        <v>8</v>
      </c>
      <c r="G3455" s="38" t="str">
        <f>HYPERLINK("http://enext.ua/068/6")</f>
        <v>http://enext.ua/068/6</v>
      </c>
    </row>
    <row r="3456" spans="2:7" ht="12" outlineLevel="3" x14ac:dyDescent="0.2">
      <c r="B3456" s="10"/>
      <c r="C3456" s="36" t="s">
        <v>6593</v>
      </c>
      <c r="D3456" s="10"/>
      <c r="E3456" s="11"/>
      <c r="F3456" s="11"/>
      <c r="G3456" s="10"/>
    </row>
    <row r="3457" spans="2:7" ht="11.25" outlineLevel="4" x14ac:dyDescent="0.2">
      <c r="B3457" s="14" t="s">
        <v>6594</v>
      </c>
      <c r="C3457" s="14" t="s">
        <v>6595</v>
      </c>
      <c r="D3457" s="14">
        <v>200</v>
      </c>
      <c r="E3457" s="15">
        <v>0.82</v>
      </c>
      <c r="F3457" s="16" t="s">
        <v>8</v>
      </c>
      <c r="G3457" s="38" t="str">
        <f>HYPERLINK("http://enext.ua/s027001")</f>
        <v>http://enext.ua/s027001</v>
      </c>
    </row>
    <row r="3458" spans="2:7" ht="11.25" outlineLevel="4" x14ac:dyDescent="0.2">
      <c r="B3458" s="14" t="s">
        <v>6596</v>
      </c>
      <c r="C3458" s="14" t="s">
        <v>6597</v>
      </c>
      <c r="D3458" s="14">
        <v>1</v>
      </c>
      <c r="E3458" s="15">
        <v>79.36</v>
      </c>
      <c r="F3458" s="16" t="s">
        <v>4092</v>
      </c>
      <c r="G3458" s="38" t="str">
        <f>HYPERLINK("http://enext.ua/s0027018")</f>
        <v>http://enext.ua/s0027018</v>
      </c>
    </row>
    <row r="3459" spans="2:7" ht="11.25" outlineLevel="4" x14ac:dyDescent="0.2">
      <c r="B3459" s="14" t="s">
        <v>6598</v>
      </c>
      <c r="C3459" s="14" t="s">
        <v>6599</v>
      </c>
      <c r="D3459" s="14">
        <v>1</v>
      </c>
      <c r="E3459" s="15">
        <v>181.82</v>
      </c>
      <c r="F3459" s="16" t="s">
        <v>4092</v>
      </c>
      <c r="G3459" s="38" t="str">
        <f>HYPERLINK("http://enext.ua/s0027019")</f>
        <v>http://enext.ua/s0027019</v>
      </c>
    </row>
    <row r="3460" spans="2:7" ht="11.25" outlineLevel="4" x14ac:dyDescent="0.2">
      <c r="B3460" s="14" t="s">
        <v>6600</v>
      </c>
      <c r="C3460" s="14" t="s">
        <v>6601</v>
      </c>
      <c r="D3460" s="14">
        <v>1</v>
      </c>
      <c r="E3460" s="15">
        <v>1.2</v>
      </c>
      <c r="F3460" s="16" t="s">
        <v>8</v>
      </c>
      <c r="G3460" s="38" t="str">
        <f>HYPERLINK("http://enext.ua/s0270015")</f>
        <v>http://enext.ua/s0270015</v>
      </c>
    </row>
    <row r="3461" spans="2:7" ht="22.5" outlineLevel="4" x14ac:dyDescent="0.2">
      <c r="B3461" s="14" t="s">
        <v>6602</v>
      </c>
      <c r="C3461" s="14" t="s">
        <v>6603</v>
      </c>
      <c r="D3461" s="14">
        <v>1</v>
      </c>
      <c r="E3461" s="15">
        <v>110.4</v>
      </c>
      <c r="F3461" s="16" t="s">
        <v>4092</v>
      </c>
      <c r="G3461" s="38" t="str">
        <f>HYPERLINK("http://enext.ua/s0027013")</f>
        <v>http://enext.ua/s0027013</v>
      </c>
    </row>
    <row r="3462" spans="2:7" ht="11.25" outlineLevel="4" x14ac:dyDescent="0.2">
      <c r="B3462" s="14" t="s">
        <v>6604</v>
      </c>
      <c r="C3462" s="14" t="s">
        <v>6605</v>
      </c>
      <c r="D3462" s="14">
        <v>200</v>
      </c>
      <c r="E3462" s="15">
        <v>1</v>
      </c>
      <c r="F3462" s="16" t="s">
        <v>8</v>
      </c>
      <c r="G3462" s="38" t="str">
        <f>HYPERLINK("http://enext.ua/s027002")</f>
        <v>http://enext.ua/s027002</v>
      </c>
    </row>
    <row r="3463" spans="2:7" ht="11.25" outlineLevel="4" x14ac:dyDescent="0.2">
      <c r="B3463" s="14" t="s">
        <v>6606</v>
      </c>
      <c r="C3463" s="14" t="s">
        <v>6607</v>
      </c>
      <c r="D3463" s="14">
        <v>1</v>
      </c>
      <c r="E3463" s="15">
        <v>93.47</v>
      </c>
      <c r="F3463" s="16" t="s">
        <v>4092</v>
      </c>
      <c r="G3463" s="38" t="str">
        <f>HYPERLINK("http://enext.ua/s0027017")</f>
        <v>http://enext.ua/s0027017</v>
      </c>
    </row>
    <row r="3464" spans="2:7" ht="11.25" outlineLevel="4" x14ac:dyDescent="0.2">
      <c r="B3464" s="14" t="s">
        <v>6608</v>
      </c>
      <c r="C3464" s="14" t="s">
        <v>6609</v>
      </c>
      <c r="D3464" s="14">
        <v>1</v>
      </c>
      <c r="E3464" s="15">
        <v>190.91</v>
      </c>
      <c r="F3464" s="16" t="s">
        <v>4092</v>
      </c>
      <c r="G3464" s="38" t="str">
        <f>HYPERLINK("http://enext.ua/s0027015")</f>
        <v>http://enext.ua/s0027015</v>
      </c>
    </row>
    <row r="3465" spans="2:7" ht="11.25" outlineLevel="4" x14ac:dyDescent="0.2">
      <c r="B3465" s="14" t="s">
        <v>6610</v>
      </c>
      <c r="C3465" s="14" t="s">
        <v>6611</v>
      </c>
      <c r="D3465" s="14">
        <v>1</v>
      </c>
      <c r="E3465" s="15">
        <v>1.25</v>
      </c>
      <c r="F3465" s="16" t="s">
        <v>8</v>
      </c>
      <c r="G3465" s="38" t="str">
        <f>HYPERLINK("http://enext.ua/s0027016")</f>
        <v>http://enext.ua/s0027016</v>
      </c>
    </row>
    <row r="3466" spans="2:7" ht="22.5" outlineLevel="4" x14ac:dyDescent="0.2">
      <c r="B3466" s="14" t="s">
        <v>6612</v>
      </c>
      <c r="C3466" s="14" t="s">
        <v>6613</v>
      </c>
      <c r="D3466" s="14">
        <v>1</v>
      </c>
      <c r="E3466" s="15">
        <v>115.42</v>
      </c>
      <c r="F3466" s="16" t="s">
        <v>4092</v>
      </c>
      <c r="G3466" s="38" t="str">
        <f>HYPERLINK("http://enext.ua/s0027014")</f>
        <v>http://enext.ua/s0027014</v>
      </c>
    </row>
    <row r="3467" spans="2:7" ht="11.25" outlineLevel="4" x14ac:dyDescent="0.2">
      <c r="B3467" s="14" t="s">
        <v>6614</v>
      </c>
      <c r="C3467" s="14" t="s">
        <v>6615</v>
      </c>
      <c r="D3467" s="14">
        <v>200</v>
      </c>
      <c r="E3467" s="15">
        <v>4.04</v>
      </c>
      <c r="F3467" s="16" t="s">
        <v>8</v>
      </c>
      <c r="G3467" s="38" t="str">
        <f>HYPERLINK("http://enext.ua/s027008")</f>
        <v>http://enext.ua/s027008</v>
      </c>
    </row>
    <row r="3468" spans="2:7" ht="11.25" outlineLevel="4" x14ac:dyDescent="0.2">
      <c r="B3468" s="14" t="s">
        <v>6616</v>
      </c>
      <c r="C3468" s="14" t="s">
        <v>6617</v>
      </c>
      <c r="D3468" s="14">
        <v>200</v>
      </c>
      <c r="E3468" s="15">
        <v>4.62</v>
      </c>
      <c r="F3468" s="16" t="s">
        <v>8</v>
      </c>
      <c r="G3468" s="38" t="str">
        <f>HYPERLINK("http://enext.ua/s027009")</f>
        <v>http://enext.ua/s027009</v>
      </c>
    </row>
    <row r="3469" spans="2:7" ht="11.25" outlineLevel="4" x14ac:dyDescent="0.2">
      <c r="B3469" s="14" t="s">
        <v>6618</v>
      </c>
      <c r="C3469" s="14" t="s">
        <v>6619</v>
      </c>
      <c r="D3469" s="14">
        <v>1</v>
      </c>
      <c r="E3469" s="15">
        <v>3.65</v>
      </c>
      <c r="F3469" s="16" t="s">
        <v>8</v>
      </c>
      <c r="G3469" s="38" t="str">
        <f>HYPERLINK("http://enext.ua/s0270019")</f>
        <v>http://enext.ua/s0270019</v>
      </c>
    </row>
    <row r="3470" spans="2:7" ht="22.5" outlineLevel="4" x14ac:dyDescent="0.2">
      <c r="B3470" s="14" t="s">
        <v>6620</v>
      </c>
      <c r="C3470" s="14" t="s">
        <v>6621</v>
      </c>
      <c r="D3470" s="14">
        <v>1</v>
      </c>
      <c r="E3470" s="15">
        <v>362.18</v>
      </c>
      <c r="F3470" s="16" t="s">
        <v>4092</v>
      </c>
      <c r="G3470" s="38" t="str">
        <f>HYPERLINK("http://enext.ua/s0270020")</f>
        <v>http://enext.ua/s0270020</v>
      </c>
    </row>
    <row r="3471" spans="2:7" ht="22.5" outlineLevel="4" x14ac:dyDescent="0.2">
      <c r="B3471" s="14" t="s">
        <v>6622</v>
      </c>
      <c r="C3471" s="14" t="s">
        <v>6623</v>
      </c>
      <c r="D3471" s="14">
        <v>1</v>
      </c>
      <c r="E3471" s="15">
        <v>36.5</v>
      </c>
      <c r="F3471" s="16" t="s">
        <v>4092</v>
      </c>
      <c r="G3471" s="14"/>
    </row>
    <row r="3472" spans="2:7" ht="11.25" outlineLevel="4" x14ac:dyDescent="0.2">
      <c r="B3472" s="14" t="s">
        <v>6624</v>
      </c>
      <c r="C3472" s="14" t="s">
        <v>6625</v>
      </c>
      <c r="D3472" s="14">
        <v>200</v>
      </c>
      <c r="E3472" s="15">
        <v>4.24</v>
      </c>
      <c r="F3472" s="16" t="s">
        <v>8</v>
      </c>
      <c r="G3472" s="38" t="str">
        <f>HYPERLINK("http://enext.ua/s027003")</f>
        <v>http://enext.ua/s027003</v>
      </c>
    </row>
    <row r="3473" spans="2:7" ht="11.25" outlineLevel="4" x14ac:dyDescent="0.2">
      <c r="B3473" s="14" t="s">
        <v>6626</v>
      </c>
      <c r="C3473" s="14" t="s">
        <v>6627</v>
      </c>
      <c r="D3473" s="14">
        <v>200</v>
      </c>
      <c r="E3473" s="15">
        <v>6.27</v>
      </c>
      <c r="F3473" s="16" t="s">
        <v>8</v>
      </c>
      <c r="G3473" s="38" t="str">
        <f>HYPERLINK("http://enext.ua/s027010")</f>
        <v>http://enext.ua/s027010</v>
      </c>
    </row>
    <row r="3474" spans="2:7" ht="11.25" outlineLevel="4" x14ac:dyDescent="0.2">
      <c r="B3474" s="14" t="s">
        <v>6628</v>
      </c>
      <c r="C3474" s="14" t="s">
        <v>6629</v>
      </c>
      <c r="D3474" s="14">
        <v>200</v>
      </c>
      <c r="E3474" s="15">
        <v>7</v>
      </c>
      <c r="F3474" s="16" t="s">
        <v>8</v>
      </c>
      <c r="G3474" s="38" t="str">
        <f>HYPERLINK("http://enext.ua/s027004")</f>
        <v>http://enext.ua/s027004</v>
      </c>
    </row>
    <row r="3475" spans="2:7" ht="12" outlineLevel="1" x14ac:dyDescent="0.2">
      <c r="B3475" s="6"/>
      <c r="C3475" s="34" t="s">
        <v>6630</v>
      </c>
      <c r="D3475" s="6"/>
      <c r="E3475" s="7"/>
      <c r="F3475" s="7"/>
      <c r="G3475" s="6"/>
    </row>
    <row r="3476" spans="2:7" ht="12" outlineLevel="2" x14ac:dyDescent="0.2">
      <c r="B3476" s="8"/>
      <c r="C3476" s="35" t="s">
        <v>6631</v>
      </c>
      <c r="D3476" s="8"/>
      <c r="E3476" s="9"/>
      <c r="F3476" s="9"/>
      <c r="G3476" s="8"/>
    </row>
    <row r="3477" spans="2:7" ht="12" outlineLevel="3" x14ac:dyDescent="0.2">
      <c r="B3477" s="10"/>
      <c r="C3477" s="36" t="s">
        <v>6632</v>
      </c>
      <c r="D3477" s="10"/>
      <c r="E3477" s="11"/>
      <c r="F3477" s="11"/>
      <c r="G3477" s="10"/>
    </row>
    <row r="3478" spans="2:7" ht="12" outlineLevel="4" x14ac:dyDescent="0.2">
      <c r="B3478" s="12"/>
      <c r="C3478" s="37" t="s">
        <v>6633</v>
      </c>
      <c r="D3478" s="12"/>
      <c r="E3478" s="13"/>
      <c r="F3478" s="13"/>
      <c r="G3478" s="12"/>
    </row>
    <row r="3479" spans="2:7" ht="12" outlineLevel="5" x14ac:dyDescent="0.2">
      <c r="B3479" s="18"/>
      <c r="C3479" s="39" t="s">
        <v>6634</v>
      </c>
      <c r="D3479" s="18"/>
      <c r="E3479" s="19"/>
      <c r="F3479" s="19"/>
      <c r="G3479" s="18"/>
    </row>
    <row r="3480" spans="2:7" ht="11.25" outlineLevel="6" x14ac:dyDescent="0.2">
      <c r="B3480" s="14" t="s">
        <v>6635</v>
      </c>
      <c r="C3480" s="14" t="s">
        <v>6636</v>
      </c>
      <c r="D3480" s="14">
        <v>10</v>
      </c>
      <c r="E3480" s="15">
        <v>207.15</v>
      </c>
      <c r="F3480" s="16" t="s">
        <v>8</v>
      </c>
      <c r="G3480" s="38" t="str">
        <f>HYPERLINK("http://enext.ua/p022001")</f>
        <v>http://enext.ua/p022001</v>
      </c>
    </row>
    <row r="3481" spans="2:7" ht="11.25" outlineLevel="6" x14ac:dyDescent="0.2">
      <c r="B3481" s="14" t="s">
        <v>6637</v>
      </c>
      <c r="C3481" s="14" t="s">
        <v>6638</v>
      </c>
      <c r="D3481" s="14">
        <v>4</v>
      </c>
      <c r="E3481" s="15">
        <v>257.95</v>
      </c>
      <c r="F3481" s="16" t="s">
        <v>8</v>
      </c>
      <c r="G3481" s="38" t="str">
        <f>HYPERLINK("http://enext.ua/p022003")</f>
        <v>http://enext.ua/p022003</v>
      </c>
    </row>
    <row r="3482" spans="2:7" ht="11.25" outlineLevel="6" x14ac:dyDescent="0.2">
      <c r="B3482" s="14" t="s">
        <v>6639</v>
      </c>
      <c r="C3482" s="14" t="s">
        <v>6640</v>
      </c>
      <c r="D3482" s="14">
        <v>6</v>
      </c>
      <c r="E3482" s="15">
        <v>229.08</v>
      </c>
      <c r="F3482" s="16" t="s">
        <v>8</v>
      </c>
      <c r="G3482" s="38" t="str">
        <f>HYPERLINK("http://enext.ua/p022004")</f>
        <v>http://enext.ua/p022004</v>
      </c>
    </row>
    <row r="3483" spans="2:7" ht="12" outlineLevel="5" x14ac:dyDescent="0.2">
      <c r="B3483" s="18"/>
      <c r="C3483" s="39" t="s">
        <v>6641</v>
      </c>
      <c r="D3483" s="18"/>
      <c r="E3483" s="19"/>
      <c r="F3483" s="19"/>
      <c r="G3483" s="18"/>
    </row>
    <row r="3484" spans="2:7" ht="11.25" outlineLevel="6" x14ac:dyDescent="0.2">
      <c r="B3484" s="14" t="s">
        <v>6642</v>
      </c>
      <c r="C3484" s="14" t="s">
        <v>6643</v>
      </c>
      <c r="D3484" s="14">
        <v>20</v>
      </c>
      <c r="E3484" s="15">
        <v>92.4</v>
      </c>
      <c r="F3484" s="16" t="s">
        <v>8</v>
      </c>
      <c r="G3484" s="38" t="str">
        <f>HYPERLINK("http://enext.ua/p021009")</f>
        <v>http://enext.ua/p021009</v>
      </c>
    </row>
    <row r="3485" spans="2:7" ht="11.25" outlineLevel="6" x14ac:dyDescent="0.2">
      <c r="B3485" s="14" t="s">
        <v>6644</v>
      </c>
      <c r="C3485" s="14" t="s">
        <v>6645</v>
      </c>
      <c r="D3485" s="14">
        <v>1</v>
      </c>
      <c r="E3485" s="15">
        <v>105.05</v>
      </c>
      <c r="F3485" s="16" t="s">
        <v>8</v>
      </c>
      <c r="G3485" s="38" t="str">
        <f>HYPERLINK("http://enext.ua/p021007")</f>
        <v>http://enext.ua/p021007</v>
      </c>
    </row>
    <row r="3486" spans="2:7" ht="11.25" outlineLevel="6" x14ac:dyDescent="0.2">
      <c r="B3486" s="14" t="s">
        <v>6646</v>
      </c>
      <c r="C3486" s="14" t="s">
        <v>6647</v>
      </c>
      <c r="D3486" s="14">
        <v>1</v>
      </c>
      <c r="E3486" s="15">
        <v>260.45</v>
      </c>
      <c r="F3486" s="16" t="s">
        <v>8</v>
      </c>
      <c r="G3486" s="38" t="str">
        <f>HYPERLINK("http://enext.ua/p021008")</f>
        <v>http://enext.ua/p021008</v>
      </c>
    </row>
    <row r="3487" spans="2:7" ht="11.25" outlineLevel="6" x14ac:dyDescent="0.2">
      <c r="B3487" s="14" t="s">
        <v>6648</v>
      </c>
      <c r="C3487" s="14" t="s">
        <v>6649</v>
      </c>
      <c r="D3487" s="14">
        <v>6</v>
      </c>
      <c r="E3487" s="15">
        <v>361.9</v>
      </c>
      <c r="F3487" s="16" t="s">
        <v>8</v>
      </c>
      <c r="G3487" s="38" t="str">
        <f>HYPERLINK("http://enext.ua/p0210010")</f>
        <v>http://enext.ua/p0210010</v>
      </c>
    </row>
    <row r="3488" spans="2:7" ht="11.25" outlineLevel="6" x14ac:dyDescent="0.2">
      <c r="B3488" s="14" t="s">
        <v>6650</v>
      </c>
      <c r="C3488" s="14" t="s">
        <v>6651</v>
      </c>
      <c r="D3488" s="14">
        <v>1</v>
      </c>
      <c r="E3488" s="15">
        <v>97.63</v>
      </c>
      <c r="F3488" s="16" t="s">
        <v>8</v>
      </c>
      <c r="G3488" s="38" t="str">
        <f>HYPERLINK("http://enext.ua/p021002")</f>
        <v>http://enext.ua/p021002</v>
      </c>
    </row>
    <row r="3489" spans="2:7" ht="12" outlineLevel="5" x14ac:dyDescent="0.2">
      <c r="B3489" s="18"/>
      <c r="C3489" s="39" t="s">
        <v>6652</v>
      </c>
      <c r="D3489" s="18"/>
      <c r="E3489" s="19"/>
      <c r="F3489" s="19"/>
      <c r="G3489" s="18"/>
    </row>
    <row r="3490" spans="2:7" ht="11.25" outlineLevel="6" x14ac:dyDescent="0.2">
      <c r="B3490" s="14" t="s">
        <v>6653</v>
      </c>
      <c r="C3490" s="14" t="s">
        <v>6654</v>
      </c>
      <c r="D3490" s="14">
        <v>1</v>
      </c>
      <c r="E3490" s="15">
        <v>56.44</v>
      </c>
      <c r="F3490" s="16" t="s">
        <v>8</v>
      </c>
      <c r="G3490" s="38" t="str">
        <f>HYPERLINK("http://enext.ua/p025003")</f>
        <v>http://enext.ua/p025003</v>
      </c>
    </row>
    <row r="3491" spans="2:7" ht="11.25" outlineLevel="6" x14ac:dyDescent="0.2">
      <c r="B3491" s="14" t="s">
        <v>6655</v>
      </c>
      <c r="C3491" s="14" t="s">
        <v>6656</v>
      </c>
      <c r="D3491" s="14">
        <v>1</v>
      </c>
      <c r="E3491" s="15">
        <v>59.4</v>
      </c>
      <c r="F3491" s="16" t="s">
        <v>8</v>
      </c>
      <c r="G3491" s="38" t="str">
        <f>HYPERLINK("http://enext.ua/p025004")</f>
        <v>http://enext.ua/p025004</v>
      </c>
    </row>
    <row r="3492" spans="2:7" ht="12" outlineLevel="5" x14ac:dyDescent="0.2">
      <c r="B3492" s="18"/>
      <c r="C3492" s="39" t="s">
        <v>6657</v>
      </c>
      <c r="D3492" s="18"/>
      <c r="E3492" s="19"/>
      <c r="F3492" s="19"/>
      <c r="G3492" s="18"/>
    </row>
    <row r="3493" spans="2:7" ht="11.25" outlineLevel="6" x14ac:dyDescent="0.2">
      <c r="B3493" s="14" t="s">
        <v>6658</v>
      </c>
      <c r="C3493" s="14" t="s">
        <v>6659</v>
      </c>
      <c r="D3493" s="14">
        <v>1</v>
      </c>
      <c r="E3493" s="15">
        <v>118.8</v>
      </c>
      <c r="F3493" s="16" t="s">
        <v>8</v>
      </c>
      <c r="G3493" s="38" t="str">
        <f>HYPERLINK("http://enext.ua/p027001")</f>
        <v>http://enext.ua/p027001</v>
      </c>
    </row>
    <row r="3494" spans="2:7" ht="11.25" outlineLevel="6" x14ac:dyDescent="0.2">
      <c r="B3494" s="14" t="s">
        <v>6660</v>
      </c>
      <c r="C3494" s="14" t="s">
        <v>6661</v>
      </c>
      <c r="D3494" s="14">
        <v>1</v>
      </c>
      <c r="E3494" s="15">
        <v>152.46</v>
      </c>
      <c r="F3494" s="16" t="s">
        <v>8</v>
      </c>
      <c r="G3494" s="38" t="str">
        <f>HYPERLINK("http://enext.ua/p027003")</f>
        <v>http://enext.ua/p027003</v>
      </c>
    </row>
    <row r="3495" spans="2:7" ht="11.25" outlineLevel="6" x14ac:dyDescent="0.2">
      <c r="B3495" s="14" t="s">
        <v>6662</v>
      </c>
      <c r="C3495" s="14" t="s">
        <v>6663</v>
      </c>
      <c r="D3495" s="14">
        <v>1</v>
      </c>
      <c r="E3495" s="15">
        <v>164.34</v>
      </c>
      <c r="F3495" s="16" t="s">
        <v>8</v>
      </c>
      <c r="G3495" s="38" t="str">
        <f>HYPERLINK("http://enext.ua/p027002")</f>
        <v>http://enext.ua/p027002</v>
      </c>
    </row>
    <row r="3496" spans="2:7" ht="12" outlineLevel="5" x14ac:dyDescent="0.2">
      <c r="B3496" s="18"/>
      <c r="C3496" s="39" t="s">
        <v>6664</v>
      </c>
      <c r="D3496" s="18"/>
      <c r="E3496" s="19"/>
      <c r="F3496" s="19"/>
      <c r="G3496" s="18"/>
    </row>
    <row r="3497" spans="2:7" ht="11.25" outlineLevel="6" x14ac:dyDescent="0.2">
      <c r="B3497" s="14" t="s">
        <v>6665</v>
      </c>
      <c r="C3497" s="14" t="s">
        <v>6666</v>
      </c>
      <c r="D3497" s="14">
        <v>1</v>
      </c>
      <c r="E3497" s="15">
        <v>56.1</v>
      </c>
      <c r="F3497" s="16" t="s">
        <v>8</v>
      </c>
      <c r="G3497" s="38" t="str">
        <f>HYPERLINK("http://enext.ua/p025101")</f>
        <v>http://enext.ua/p025101</v>
      </c>
    </row>
    <row r="3498" spans="2:7" ht="11.25" outlineLevel="6" x14ac:dyDescent="0.2">
      <c r="B3498" s="14" t="s">
        <v>6667</v>
      </c>
      <c r="C3498" s="14" t="s">
        <v>6668</v>
      </c>
      <c r="D3498" s="14">
        <v>1</v>
      </c>
      <c r="E3498" s="15">
        <v>49.28</v>
      </c>
      <c r="F3498" s="16" t="s">
        <v>8</v>
      </c>
      <c r="G3498" s="38" t="str">
        <f>HYPERLINK("http://enext.ua/p025102")</f>
        <v>http://enext.ua/p025102</v>
      </c>
    </row>
    <row r="3499" spans="2:7" ht="12" outlineLevel="5" x14ac:dyDescent="0.2">
      <c r="B3499" s="18"/>
      <c r="C3499" s="39" t="s">
        <v>6669</v>
      </c>
      <c r="D3499" s="18"/>
      <c r="E3499" s="19"/>
      <c r="F3499" s="19"/>
      <c r="G3499" s="18"/>
    </row>
    <row r="3500" spans="2:7" ht="11.25" outlineLevel="6" x14ac:dyDescent="0.2">
      <c r="B3500" s="14" t="s">
        <v>6670</v>
      </c>
      <c r="C3500" s="14" t="s">
        <v>6671</v>
      </c>
      <c r="D3500" s="14">
        <v>1</v>
      </c>
      <c r="E3500" s="15">
        <v>175.9</v>
      </c>
      <c r="F3500" s="16" t="s">
        <v>8</v>
      </c>
      <c r="G3500" s="38" t="str">
        <f>HYPERLINK("http://enext.ua/010/1")</f>
        <v>http://enext.ua/010/1</v>
      </c>
    </row>
    <row r="3501" spans="2:7" ht="11.25" outlineLevel="6" x14ac:dyDescent="0.2">
      <c r="B3501" s="14" t="s">
        <v>6672</v>
      </c>
      <c r="C3501" s="14" t="s">
        <v>6673</v>
      </c>
      <c r="D3501" s="14">
        <v>1</v>
      </c>
      <c r="E3501" s="15">
        <v>168.63</v>
      </c>
      <c r="F3501" s="16" t="s">
        <v>8</v>
      </c>
      <c r="G3501" s="38" t="str">
        <f>HYPERLINK("http://enext.ua/010")</f>
        <v>http://enext.ua/010</v>
      </c>
    </row>
    <row r="3502" spans="2:7" ht="11.25" outlineLevel="6" x14ac:dyDescent="0.2">
      <c r="B3502" s="14" t="s">
        <v>6674</v>
      </c>
      <c r="C3502" s="14" t="s">
        <v>6675</v>
      </c>
      <c r="D3502" s="14">
        <v>1</v>
      </c>
      <c r="E3502" s="15">
        <v>736.88</v>
      </c>
      <c r="F3502" s="16" t="s">
        <v>8</v>
      </c>
      <c r="G3502" s="38" t="str">
        <f>HYPERLINK("http://enext.ua/063")</f>
        <v>http://enext.ua/063</v>
      </c>
    </row>
    <row r="3503" spans="2:7" ht="11.25" outlineLevel="6" x14ac:dyDescent="0.2">
      <c r="B3503" s="14" t="s">
        <v>6676</v>
      </c>
      <c r="C3503" s="14" t="s">
        <v>6677</v>
      </c>
      <c r="D3503" s="14">
        <v>1</v>
      </c>
      <c r="E3503" s="15">
        <v>897.05</v>
      </c>
      <c r="F3503" s="16" t="s">
        <v>8</v>
      </c>
      <c r="G3503" s="38" t="str">
        <f>HYPERLINK("http://enext.ua/9004-000")</f>
        <v>http://enext.ua/9004-000</v>
      </c>
    </row>
    <row r="3504" spans="2:7" ht="12" outlineLevel="4" x14ac:dyDescent="0.2">
      <c r="B3504" s="12"/>
      <c r="C3504" s="37" t="s">
        <v>6678</v>
      </c>
      <c r="D3504" s="12"/>
      <c r="E3504" s="13"/>
      <c r="F3504" s="13"/>
      <c r="G3504" s="12"/>
    </row>
    <row r="3505" spans="2:7" ht="12" outlineLevel="5" x14ac:dyDescent="0.2">
      <c r="B3505" s="18"/>
      <c r="C3505" s="39" t="s">
        <v>6679</v>
      </c>
      <c r="D3505" s="18"/>
      <c r="E3505" s="19"/>
      <c r="F3505" s="19"/>
      <c r="G3505" s="18"/>
    </row>
    <row r="3506" spans="2:7" ht="11.25" outlineLevel="6" x14ac:dyDescent="0.2">
      <c r="B3506" s="14" t="s">
        <v>6680</v>
      </c>
      <c r="C3506" s="14" t="s">
        <v>6681</v>
      </c>
      <c r="D3506" s="14">
        <v>1</v>
      </c>
      <c r="E3506" s="15">
        <v>116.05</v>
      </c>
      <c r="F3506" s="16" t="s">
        <v>8</v>
      </c>
      <c r="G3506" s="38" t="str">
        <f>HYPERLINK("http://enext.ua/p026001")</f>
        <v>http://enext.ua/p026001</v>
      </c>
    </row>
    <row r="3507" spans="2:7" ht="12" outlineLevel="5" x14ac:dyDescent="0.2">
      <c r="B3507" s="18"/>
      <c r="C3507" s="39" t="s">
        <v>6682</v>
      </c>
      <c r="D3507" s="18"/>
      <c r="E3507" s="19"/>
      <c r="F3507" s="19"/>
      <c r="G3507" s="18"/>
    </row>
    <row r="3508" spans="2:7" ht="11.25" outlineLevel="6" x14ac:dyDescent="0.2">
      <c r="B3508" s="14" t="s">
        <v>6683</v>
      </c>
      <c r="C3508" s="14" t="s">
        <v>6684</v>
      </c>
      <c r="D3508" s="14">
        <v>1</v>
      </c>
      <c r="E3508" s="15">
        <v>103.46</v>
      </c>
      <c r="F3508" s="16" t="s">
        <v>8</v>
      </c>
      <c r="G3508" s="38" t="str">
        <f>HYPERLINK("http://enext.ua/p024001")</f>
        <v>http://enext.ua/p024001</v>
      </c>
    </row>
    <row r="3509" spans="2:7" ht="11.25" outlineLevel="6" x14ac:dyDescent="0.2">
      <c r="B3509" s="14" t="s">
        <v>6685</v>
      </c>
      <c r="C3509" s="14" t="s">
        <v>6686</v>
      </c>
      <c r="D3509" s="14">
        <v>1</v>
      </c>
      <c r="E3509" s="15">
        <v>105.69</v>
      </c>
      <c r="F3509" s="16" t="s">
        <v>8</v>
      </c>
      <c r="G3509" s="38" t="str">
        <f>HYPERLINK("http://enext.ua/p024002")</f>
        <v>http://enext.ua/p024002</v>
      </c>
    </row>
    <row r="3510" spans="2:7" ht="11.25" outlineLevel="6" x14ac:dyDescent="0.2">
      <c r="B3510" s="14" t="s">
        <v>6687</v>
      </c>
      <c r="C3510" s="14" t="s">
        <v>6688</v>
      </c>
      <c r="D3510" s="14">
        <v>1</v>
      </c>
      <c r="E3510" s="15">
        <v>117.57</v>
      </c>
      <c r="F3510" s="16" t="s">
        <v>8</v>
      </c>
      <c r="G3510" s="38" t="str">
        <f>HYPERLINK("http://enext.ua/p024003")</f>
        <v>http://enext.ua/p024003</v>
      </c>
    </row>
    <row r="3511" spans="2:7" ht="11.25" outlineLevel="6" x14ac:dyDescent="0.2">
      <c r="B3511" s="14" t="s">
        <v>6689</v>
      </c>
      <c r="C3511" s="14" t="s">
        <v>6690</v>
      </c>
      <c r="D3511" s="14">
        <v>1</v>
      </c>
      <c r="E3511" s="15">
        <v>149.77000000000001</v>
      </c>
      <c r="F3511" s="16" t="s">
        <v>8</v>
      </c>
      <c r="G3511" s="38" t="str">
        <f>HYPERLINK("http://enext.ua/p024004")</f>
        <v>http://enext.ua/p024004</v>
      </c>
    </row>
    <row r="3512" spans="2:7" ht="12" outlineLevel="5" x14ac:dyDescent="0.2">
      <c r="B3512" s="18"/>
      <c r="C3512" s="39" t="s">
        <v>6691</v>
      </c>
      <c r="D3512" s="18"/>
      <c r="E3512" s="19"/>
      <c r="F3512" s="19"/>
      <c r="G3512" s="18"/>
    </row>
    <row r="3513" spans="2:7" ht="11.25" outlineLevel="6" x14ac:dyDescent="0.2">
      <c r="B3513" s="14" t="s">
        <v>6692</v>
      </c>
      <c r="C3513" s="14" t="s">
        <v>6693</v>
      </c>
      <c r="D3513" s="14">
        <v>20</v>
      </c>
      <c r="E3513" s="15">
        <v>126.48</v>
      </c>
      <c r="F3513" s="16" t="s">
        <v>8</v>
      </c>
      <c r="G3513" s="38" t="str">
        <f>HYPERLINK("http://enext.ua/p029001")</f>
        <v>http://enext.ua/p029001</v>
      </c>
    </row>
    <row r="3514" spans="2:7" ht="11.25" outlineLevel="6" x14ac:dyDescent="0.2">
      <c r="B3514" s="14" t="s">
        <v>6694</v>
      </c>
      <c r="C3514" s="14" t="s">
        <v>6695</v>
      </c>
      <c r="D3514" s="14">
        <v>20</v>
      </c>
      <c r="E3514" s="15">
        <v>132.41999999999999</v>
      </c>
      <c r="F3514" s="16" t="s">
        <v>8</v>
      </c>
      <c r="G3514" s="38" t="str">
        <f>HYPERLINK("http://enext.ua/p029002")</f>
        <v>http://enext.ua/p029002</v>
      </c>
    </row>
    <row r="3515" spans="2:7" ht="12" outlineLevel="5" x14ac:dyDescent="0.2">
      <c r="B3515" s="18"/>
      <c r="C3515" s="39" t="s">
        <v>6696</v>
      </c>
      <c r="D3515" s="18"/>
      <c r="E3515" s="19"/>
      <c r="F3515" s="19"/>
      <c r="G3515" s="18"/>
    </row>
    <row r="3516" spans="2:7" ht="11.25" outlineLevel="6" x14ac:dyDescent="0.2">
      <c r="B3516" s="14" t="s">
        <v>6697</v>
      </c>
      <c r="C3516" s="14" t="s">
        <v>6698</v>
      </c>
      <c r="D3516" s="14">
        <v>1</v>
      </c>
      <c r="E3516" s="15">
        <v>298.93</v>
      </c>
      <c r="F3516" s="16" t="s">
        <v>8</v>
      </c>
      <c r="G3516" s="38" t="str">
        <f>HYPERLINK("http://enext.ua/p029101")</f>
        <v>http://enext.ua/p029101</v>
      </c>
    </row>
    <row r="3517" spans="2:7" ht="12" outlineLevel="5" x14ac:dyDescent="0.2">
      <c r="B3517" s="18"/>
      <c r="C3517" s="39" t="s">
        <v>6699</v>
      </c>
      <c r="D3517" s="18"/>
      <c r="E3517" s="19"/>
      <c r="F3517" s="19"/>
      <c r="G3517" s="18"/>
    </row>
    <row r="3518" spans="2:7" ht="11.25" outlineLevel="6" x14ac:dyDescent="0.2">
      <c r="B3518" s="14" t="s">
        <v>6700</v>
      </c>
      <c r="C3518" s="14" t="s">
        <v>6701</v>
      </c>
      <c r="D3518" s="14">
        <v>1</v>
      </c>
      <c r="E3518" s="15">
        <v>158.31</v>
      </c>
      <c r="F3518" s="16" t="s">
        <v>8</v>
      </c>
      <c r="G3518" s="38" t="str">
        <f>HYPERLINK("http://enext.ua/094")</f>
        <v>http://enext.ua/094</v>
      </c>
    </row>
    <row r="3519" spans="2:7" ht="11.25" outlineLevel="6" x14ac:dyDescent="0.2">
      <c r="B3519" s="14" t="s">
        <v>6702</v>
      </c>
      <c r="C3519" s="14" t="s">
        <v>6703</v>
      </c>
      <c r="D3519" s="14">
        <v>1</v>
      </c>
      <c r="E3519" s="15">
        <v>509.94</v>
      </c>
      <c r="F3519" s="16" t="s">
        <v>8</v>
      </c>
      <c r="G3519" s="38" t="str">
        <f>HYPERLINK("http://enext.ua/074")</f>
        <v>http://enext.ua/074</v>
      </c>
    </row>
    <row r="3520" spans="2:7" ht="12" outlineLevel="4" x14ac:dyDescent="0.2">
      <c r="B3520" s="12"/>
      <c r="C3520" s="37" t="s">
        <v>6704</v>
      </c>
      <c r="D3520" s="12"/>
      <c r="E3520" s="13"/>
      <c r="F3520" s="13"/>
      <c r="G3520" s="12"/>
    </row>
    <row r="3521" spans="2:7" ht="12" outlineLevel="5" x14ac:dyDescent="0.2">
      <c r="B3521" s="18"/>
      <c r="C3521" s="39" t="s">
        <v>6705</v>
      </c>
      <c r="D3521" s="18"/>
      <c r="E3521" s="19"/>
      <c r="F3521" s="19"/>
      <c r="G3521" s="18"/>
    </row>
    <row r="3522" spans="2:7" ht="11.25" outlineLevel="6" x14ac:dyDescent="0.2">
      <c r="B3522" s="14" t="s">
        <v>6706</v>
      </c>
      <c r="C3522" s="14" t="s">
        <v>6707</v>
      </c>
      <c r="D3522" s="14">
        <v>1</v>
      </c>
      <c r="E3522" s="15">
        <v>97.08</v>
      </c>
      <c r="F3522" s="16" t="s">
        <v>8</v>
      </c>
      <c r="G3522" s="38" t="str">
        <f>HYPERLINK("http://enext.ua/p028010")</f>
        <v>http://enext.ua/p028010</v>
      </c>
    </row>
    <row r="3523" spans="2:7" ht="11.25" outlineLevel="6" x14ac:dyDescent="0.2">
      <c r="B3523" s="14" t="s">
        <v>6708</v>
      </c>
      <c r="C3523" s="14" t="s">
        <v>6709</v>
      </c>
      <c r="D3523" s="14">
        <v>25</v>
      </c>
      <c r="E3523" s="15">
        <v>63.53</v>
      </c>
      <c r="F3523" s="16" t="s">
        <v>8</v>
      </c>
      <c r="G3523" s="38" t="str">
        <f>HYPERLINK("http://enext.ua/p028004")</f>
        <v>http://enext.ua/p028004</v>
      </c>
    </row>
    <row r="3524" spans="2:7" ht="11.25" outlineLevel="6" x14ac:dyDescent="0.2">
      <c r="B3524" s="14" t="s">
        <v>6710</v>
      </c>
      <c r="C3524" s="14" t="s">
        <v>6711</v>
      </c>
      <c r="D3524" s="14">
        <v>1</v>
      </c>
      <c r="E3524" s="15">
        <v>172.76</v>
      </c>
      <c r="F3524" s="16" t="s">
        <v>8</v>
      </c>
      <c r="G3524" s="38" t="str">
        <f>HYPERLINK("http://enext.ua/p028005")</f>
        <v>http://enext.ua/p028005</v>
      </c>
    </row>
    <row r="3525" spans="2:7" ht="11.25" outlineLevel="6" x14ac:dyDescent="0.2">
      <c r="B3525" s="14" t="s">
        <v>6712</v>
      </c>
      <c r="C3525" s="14" t="s">
        <v>6713</v>
      </c>
      <c r="D3525" s="14">
        <v>1</v>
      </c>
      <c r="E3525" s="15">
        <v>94.44</v>
      </c>
      <c r="F3525" s="16" t="s">
        <v>8</v>
      </c>
      <c r="G3525" s="38" t="str">
        <f>HYPERLINK("http://enext.ua/p028001")</f>
        <v>http://enext.ua/p028001</v>
      </c>
    </row>
    <row r="3526" spans="2:7" ht="11.25" outlineLevel="6" x14ac:dyDescent="0.2">
      <c r="B3526" s="14" t="s">
        <v>6714</v>
      </c>
      <c r="C3526" s="14" t="s">
        <v>6715</v>
      </c>
      <c r="D3526" s="14">
        <v>1</v>
      </c>
      <c r="E3526" s="15">
        <v>130.9</v>
      </c>
      <c r="F3526" s="16" t="s">
        <v>8</v>
      </c>
      <c r="G3526" s="38" t="str">
        <f>HYPERLINK("http://enext.ua/p028002")</f>
        <v>http://enext.ua/p028002</v>
      </c>
    </row>
    <row r="3527" spans="2:7" ht="22.5" outlineLevel="6" x14ac:dyDescent="0.2">
      <c r="B3527" s="14" t="s">
        <v>6716</v>
      </c>
      <c r="C3527" s="14" t="s">
        <v>6717</v>
      </c>
      <c r="D3527" s="14">
        <v>8</v>
      </c>
      <c r="E3527" s="15">
        <v>108.08</v>
      </c>
      <c r="F3527" s="16" t="s">
        <v>8</v>
      </c>
      <c r="G3527" s="38" t="str">
        <f>HYPERLINK("http://enext.ua/p028012")</f>
        <v>http://enext.ua/p028012</v>
      </c>
    </row>
    <row r="3528" spans="2:7" ht="22.5" outlineLevel="6" x14ac:dyDescent="0.2">
      <c r="B3528" s="14" t="s">
        <v>6718</v>
      </c>
      <c r="C3528" s="14" t="s">
        <v>6719</v>
      </c>
      <c r="D3528" s="14">
        <v>8</v>
      </c>
      <c r="E3528" s="15">
        <v>106.36</v>
      </c>
      <c r="F3528" s="16" t="s">
        <v>8</v>
      </c>
      <c r="G3528" s="38" t="str">
        <f>HYPERLINK("http://enext.ua/p028011")</f>
        <v>http://enext.ua/p028011</v>
      </c>
    </row>
    <row r="3529" spans="2:7" ht="22.5" outlineLevel="6" x14ac:dyDescent="0.2">
      <c r="B3529" s="14" t="s">
        <v>6720</v>
      </c>
      <c r="C3529" s="14" t="s">
        <v>6721</v>
      </c>
      <c r="D3529" s="14">
        <v>10</v>
      </c>
      <c r="E3529" s="15">
        <v>108.63</v>
      </c>
      <c r="F3529" s="16" t="s">
        <v>8</v>
      </c>
      <c r="G3529" s="38" t="str">
        <f>HYPERLINK("http://enext.ua/p028009")</f>
        <v>http://enext.ua/p028009</v>
      </c>
    </row>
    <row r="3530" spans="2:7" ht="11.25" outlineLevel="6" x14ac:dyDescent="0.2">
      <c r="B3530" s="14" t="s">
        <v>6722</v>
      </c>
      <c r="C3530" s="14" t="s">
        <v>6723</v>
      </c>
      <c r="D3530" s="14">
        <v>1</v>
      </c>
      <c r="E3530" s="15">
        <v>67.13</v>
      </c>
      <c r="F3530" s="16" t="s">
        <v>8</v>
      </c>
      <c r="G3530" s="38" t="str">
        <f>HYPERLINK("http://enext.ua/p028007")</f>
        <v>http://enext.ua/p028007</v>
      </c>
    </row>
    <row r="3531" spans="2:7" ht="22.5" outlineLevel="6" x14ac:dyDescent="0.2">
      <c r="B3531" s="14" t="s">
        <v>6724</v>
      </c>
      <c r="C3531" s="14" t="s">
        <v>6725</v>
      </c>
      <c r="D3531" s="14">
        <v>1</v>
      </c>
      <c r="E3531" s="15">
        <v>114.95</v>
      </c>
      <c r="F3531" s="16" t="s">
        <v>8</v>
      </c>
      <c r="G3531" s="38" t="str">
        <f>HYPERLINK("http://enext.ua/p028008")</f>
        <v>http://enext.ua/p028008</v>
      </c>
    </row>
    <row r="3532" spans="2:7" ht="11.25" outlineLevel="6" x14ac:dyDescent="0.2">
      <c r="B3532" s="14" t="s">
        <v>6726</v>
      </c>
      <c r="C3532" s="14" t="s">
        <v>6727</v>
      </c>
      <c r="D3532" s="14">
        <v>1</v>
      </c>
      <c r="E3532" s="15">
        <v>119.63</v>
      </c>
      <c r="F3532" s="16" t="s">
        <v>8</v>
      </c>
      <c r="G3532" s="38" t="str">
        <f>HYPERLINK("http://enext.ua/p028006")</f>
        <v>http://enext.ua/p028006</v>
      </c>
    </row>
    <row r="3533" spans="2:7" ht="11.25" outlineLevel="6" x14ac:dyDescent="0.2">
      <c r="B3533" s="14" t="s">
        <v>6728</v>
      </c>
      <c r="C3533" s="14" t="s">
        <v>6729</v>
      </c>
      <c r="D3533" s="14">
        <v>1</v>
      </c>
      <c r="E3533" s="15">
        <v>437.53</v>
      </c>
      <c r="F3533" s="16" t="s">
        <v>8</v>
      </c>
      <c r="G3533" s="38" t="str">
        <f>HYPERLINK("http://enext.ua/p028003")</f>
        <v>http://enext.ua/p028003</v>
      </c>
    </row>
    <row r="3534" spans="2:7" ht="12" outlineLevel="5" x14ac:dyDescent="0.2">
      <c r="B3534" s="18"/>
      <c r="C3534" s="39" t="s">
        <v>6730</v>
      </c>
      <c r="D3534" s="18"/>
      <c r="E3534" s="19"/>
      <c r="F3534" s="19"/>
      <c r="G3534" s="18"/>
    </row>
    <row r="3535" spans="2:7" ht="11.25" outlineLevel="6" x14ac:dyDescent="0.2">
      <c r="B3535" s="14" t="s">
        <v>6731</v>
      </c>
      <c r="C3535" s="14" t="s">
        <v>6732</v>
      </c>
      <c r="D3535" s="14">
        <v>2</v>
      </c>
      <c r="E3535" s="15">
        <v>248.45</v>
      </c>
      <c r="F3535" s="16" t="s">
        <v>8</v>
      </c>
      <c r="G3535" s="38" t="str">
        <f>HYPERLINK("http://enext.ua/p061002")</f>
        <v>http://enext.ua/p061002</v>
      </c>
    </row>
    <row r="3536" spans="2:7" ht="11.25" outlineLevel="6" x14ac:dyDescent="0.2">
      <c r="B3536" s="14" t="s">
        <v>6733</v>
      </c>
      <c r="C3536" s="14" t="s">
        <v>6734</v>
      </c>
      <c r="D3536" s="14">
        <v>1</v>
      </c>
      <c r="E3536" s="15">
        <v>504.08</v>
      </c>
      <c r="F3536" s="16" t="s">
        <v>8</v>
      </c>
      <c r="G3536" s="38" t="str">
        <f>HYPERLINK("http://enext.ua/p061003")</f>
        <v>http://enext.ua/p061003</v>
      </c>
    </row>
    <row r="3537" spans="2:7" ht="12" outlineLevel="5" x14ac:dyDescent="0.2">
      <c r="B3537" s="18"/>
      <c r="C3537" s="39" t="s">
        <v>6735</v>
      </c>
      <c r="D3537" s="18"/>
      <c r="E3537" s="19"/>
      <c r="F3537" s="19"/>
      <c r="G3537" s="18"/>
    </row>
    <row r="3538" spans="2:7" ht="11.25" outlineLevel="6" x14ac:dyDescent="0.2">
      <c r="B3538" s="14" t="s">
        <v>6736</v>
      </c>
      <c r="C3538" s="14" t="s">
        <v>6737</v>
      </c>
      <c r="D3538" s="14">
        <v>1</v>
      </c>
      <c r="E3538" s="15">
        <v>170.53</v>
      </c>
      <c r="F3538" s="16" t="s">
        <v>8</v>
      </c>
      <c r="G3538" s="38" t="str">
        <f>HYPERLINK("http://enext.ua/071")</f>
        <v>http://enext.ua/071</v>
      </c>
    </row>
    <row r="3539" spans="2:7" ht="11.25" outlineLevel="6" x14ac:dyDescent="0.2">
      <c r="B3539" s="14" t="s">
        <v>6738</v>
      </c>
      <c r="C3539" s="14" t="s">
        <v>6739</v>
      </c>
      <c r="D3539" s="14">
        <v>1</v>
      </c>
      <c r="E3539" s="15">
        <v>206.61</v>
      </c>
      <c r="F3539" s="16" t="s">
        <v>8</v>
      </c>
      <c r="G3539" s="38" t="str">
        <f>HYPERLINK("http://enext.ua/072")</f>
        <v>http://enext.ua/072</v>
      </c>
    </row>
    <row r="3540" spans="2:7" ht="11.25" outlineLevel="6" x14ac:dyDescent="0.2">
      <c r="B3540" s="14" t="s">
        <v>6740</v>
      </c>
      <c r="C3540" s="14" t="s">
        <v>6741</v>
      </c>
      <c r="D3540" s="14">
        <v>1</v>
      </c>
      <c r="E3540" s="15">
        <v>218.47</v>
      </c>
      <c r="F3540" s="16" t="s">
        <v>8</v>
      </c>
      <c r="G3540" s="38" t="str">
        <f>HYPERLINK("http://enext.ua/073")</f>
        <v>http://enext.ua/073</v>
      </c>
    </row>
    <row r="3541" spans="2:7" ht="22.5" outlineLevel="6" x14ac:dyDescent="0.2">
      <c r="B3541" s="14" t="s">
        <v>6742</v>
      </c>
      <c r="C3541" s="14" t="s">
        <v>6743</v>
      </c>
      <c r="D3541" s="14">
        <v>1</v>
      </c>
      <c r="E3541" s="15">
        <v>270.61</v>
      </c>
      <c r="F3541" s="16" t="s">
        <v>8</v>
      </c>
      <c r="G3541" s="38" t="str">
        <f>HYPERLINK("http://enext.ua/077")</f>
        <v>http://enext.ua/077</v>
      </c>
    </row>
    <row r="3542" spans="2:7" ht="11.25" outlineLevel="6" x14ac:dyDescent="0.2">
      <c r="B3542" s="14" t="s">
        <v>6744</v>
      </c>
      <c r="C3542" s="14" t="s">
        <v>6745</v>
      </c>
      <c r="D3542" s="14">
        <v>1</v>
      </c>
      <c r="E3542" s="15">
        <v>270.61</v>
      </c>
      <c r="F3542" s="16" t="s">
        <v>8</v>
      </c>
      <c r="G3542" s="38" t="str">
        <f>HYPERLINK("http://enext.ua/078")</f>
        <v>http://enext.ua/078</v>
      </c>
    </row>
    <row r="3543" spans="2:7" ht="22.5" outlineLevel="6" x14ac:dyDescent="0.2">
      <c r="B3543" s="14" t="s">
        <v>6746</v>
      </c>
      <c r="C3543" s="14" t="s">
        <v>6747</v>
      </c>
      <c r="D3543" s="14">
        <v>1</v>
      </c>
      <c r="E3543" s="15">
        <v>559.67999999999995</v>
      </c>
      <c r="F3543" s="16" t="s">
        <v>8</v>
      </c>
      <c r="G3543" s="38" t="str">
        <f>HYPERLINK("http://enext.ua/9031-295")</f>
        <v>http://enext.ua/9031-295</v>
      </c>
    </row>
    <row r="3544" spans="2:7" ht="22.5" outlineLevel="6" x14ac:dyDescent="0.2">
      <c r="B3544" s="14" t="s">
        <v>6748</v>
      </c>
      <c r="C3544" s="14" t="s">
        <v>6749</v>
      </c>
      <c r="D3544" s="14">
        <v>1</v>
      </c>
      <c r="E3544" s="15">
        <v>608.86</v>
      </c>
      <c r="F3544" s="16" t="s">
        <v>8</v>
      </c>
      <c r="G3544" s="38" t="str">
        <f>HYPERLINK("http://enext.ua/9041-294")</f>
        <v>http://enext.ua/9041-294</v>
      </c>
    </row>
    <row r="3545" spans="2:7" ht="22.5" outlineLevel="6" x14ac:dyDescent="0.2">
      <c r="B3545" s="14" t="s">
        <v>6750</v>
      </c>
      <c r="C3545" s="14" t="s">
        <v>6751</v>
      </c>
      <c r="D3545" s="14">
        <v>1</v>
      </c>
      <c r="E3545" s="15">
        <v>318.13</v>
      </c>
      <c r="F3545" s="16" t="s">
        <v>8</v>
      </c>
      <c r="G3545" s="38" t="str">
        <f>HYPERLINK("http://enext.ua/9031-185")</f>
        <v>http://enext.ua/9031-185</v>
      </c>
    </row>
    <row r="3546" spans="2:7" ht="11.25" outlineLevel="6" x14ac:dyDescent="0.2">
      <c r="B3546" s="14" t="s">
        <v>6752</v>
      </c>
      <c r="C3546" s="14" t="s">
        <v>6753</v>
      </c>
      <c r="D3546" s="14">
        <v>1</v>
      </c>
      <c r="E3546" s="15">
        <v>277.47000000000003</v>
      </c>
      <c r="F3546" s="16" t="s">
        <v>8</v>
      </c>
      <c r="G3546" s="38" t="str">
        <f>HYPERLINK("http://enext.ua/9041-184")</f>
        <v>http://enext.ua/9041-184</v>
      </c>
    </row>
    <row r="3547" spans="2:7" ht="12" outlineLevel="5" x14ac:dyDescent="0.2">
      <c r="B3547" s="18"/>
      <c r="C3547" s="39" t="s">
        <v>6754</v>
      </c>
      <c r="D3547" s="18"/>
      <c r="E3547" s="19"/>
      <c r="F3547" s="19"/>
      <c r="G3547" s="18"/>
    </row>
    <row r="3548" spans="2:7" ht="11.25" outlineLevel="6" x14ac:dyDescent="0.2">
      <c r="B3548" s="14" t="s">
        <v>6755</v>
      </c>
      <c r="C3548" s="14" t="s">
        <v>6756</v>
      </c>
      <c r="D3548" s="14">
        <v>1</v>
      </c>
      <c r="E3548" s="15">
        <v>535.41999999999996</v>
      </c>
      <c r="F3548" s="16" t="s">
        <v>8</v>
      </c>
      <c r="G3548" s="38" t="str">
        <f>HYPERLINK("http://enext.ua/bzo-03")</f>
        <v>http://enext.ua/bzo-03</v>
      </c>
    </row>
    <row r="3549" spans="2:7" ht="11.25" outlineLevel="6" x14ac:dyDescent="0.2">
      <c r="B3549" s="14" t="s">
        <v>6757</v>
      </c>
      <c r="C3549" s="14" t="s">
        <v>6758</v>
      </c>
      <c r="D3549" s="14">
        <v>1</v>
      </c>
      <c r="E3549" s="15">
        <v>535.41999999999996</v>
      </c>
      <c r="F3549" s="16" t="s">
        <v>8</v>
      </c>
      <c r="G3549" s="38" t="str">
        <f>HYPERLINK("http://enext.ua/bzo-04")</f>
        <v>http://enext.ua/bzo-04</v>
      </c>
    </row>
    <row r="3550" spans="2:7" ht="12" outlineLevel="4" x14ac:dyDescent="0.2">
      <c r="B3550" s="12"/>
      <c r="C3550" s="37" t="s">
        <v>6759</v>
      </c>
      <c r="D3550" s="12"/>
      <c r="E3550" s="13"/>
      <c r="F3550" s="13"/>
      <c r="G3550" s="12"/>
    </row>
    <row r="3551" spans="2:7" ht="11.25" outlineLevel="5" x14ac:dyDescent="0.2">
      <c r="B3551" s="14" t="s">
        <v>6760</v>
      </c>
      <c r="C3551" s="14" t="s">
        <v>6761</v>
      </c>
      <c r="D3551" s="14">
        <v>1</v>
      </c>
      <c r="E3551" s="15">
        <v>25.81</v>
      </c>
      <c r="F3551" s="16" t="s">
        <v>8</v>
      </c>
      <c r="G3551" s="38" t="str">
        <f>HYPERLINK("http://enext.ua/p052001")</f>
        <v>http://enext.ua/p052001</v>
      </c>
    </row>
    <row r="3552" spans="2:7" ht="11.25" outlineLevel="5" x14ac:dyDescent="0.2">
      <c r="B3552" s="14" t="s">
        <v>6762</v>
      </c>
      <c r="C3552" s="14" t="s">
        <v>6763</v>
      </c>
      <c r="D3552" s="14">
        <v>1</v>
      </c>
      <c r="E3552" s="15">
        <v>78.819999999999993</v>
      </c>
      <c r="F3552" s="16" t="s">
        <v>8</v>
      </c>
      <c r="G3552" s="38" t="str">
        <f>HYPERLINK("http://enext.ua/p052002")</f>
        <v>http://enext.ua/p052002</v>
      </c>
    </row>
    <row r="3553" spans="2:7" ht="11.25" outlineLevel="5" x14ac:dyDescent="0.2">
      <c r="B3553" s="14" t="s">
        <v>6764</v>
      </c>
      <c r="C3553" s="14" t="s">
        <v>6765</v>
      </c>
      <c r="D3553" s="14">
        <v>1</v>
      </c>
      <c r="E3553" s="15">
        <v>118.73</v>
      </c>
      <c r="F3553" s="16" t="s">
        <v>8</v>
      </c>
      <c r="G3553" s="14"/>
    </row>
    <row r="3554" spans="2:7" ht="11.25" outlineLevel="5" x14ac:dyDescent="0.2">
      <c r="B3554" s="14" t="s">
        <v>6766</v>
      </c>
      <c r="C3554" s="14" t="s">
        <v>6767</v>
      </c>
      <c r="D3554" s="14">
        <v>1</v>
      </c>
      <c r="E3554" s="15">
        <v>280.41000000000003</v>
      </c>
      <c r="F3554" s="16" t="s">
        <v>8</v>
      </c>
      <c r="G3554" s="38" t="str">
        <f>HYPERLINK("http://enext.ua/p052006")</f>
        <v>http://enext.ua/p052006</v>
      </c>
    </row>
    <row r="3555" spans="2:7" ht="11.25" outlineLevel="5" x14ac:dyDescent="0.2">
      <c r="B3555" s="14" t="s">
        <v>6768</v>
      </c>
      <c r="C3555" s="14" t="s">
        <v>6769</v>
      </c>
      <c r="D3555" s="14">
        <v>1</v>
      </c>
      <c r="E3555" s="15">
        <v>49.07</v>
      </c>
      <c r="F3555" s="16" t="s">
        <v>8</v>
      </c>
      <c r="G3555" s="14"/>
    </row>
    <row r="3556" spans="2:7" ht="11.25" outlineLevel="5" x14ac:dyDescent="0.2">
      <c r="B3556" s="14" t="s">
        <v>6770</v>
      </c>
      <c r="C3556" s="14" t="s">
        <v>6771</v>
      </c>
      <c r="D3556" s="14">
        <v>1</v>
      </c>
      <c r="E3556" s="15">
        <v>27.82</v>
      </c>
      <c r="F3556" s="16" t="s">
        <v>8</v>
      </c>
      <c r="G3556" s="38" t="str">
        <f>HYPERLINK("http://enext.ua/p052003")</f>
        <v>http://enext.ua/p052003</v>
      </c>
    </row>
    <row r="3557" spans="2:7" ht="11.25" outlineLevel="5" x14ac:dyDescent="0.2">
      <c r="B3557" s="14" t="s">
        <v>6772</v>
      </c>
      <c r="C3557" s="14" t="s">
        <v>6773</v>
      </c>
      <c r="D3557" s="14">
        <v>1</v>
      </c>
      <c r="E3557" s="15">
        <v>32</v>
      </c>
      <c r="F3557" s="16" t="s">
        <v>8</v>
      </c>
      <c r="G3557" s="38" t="str">
        <f>HYPERLINK("http://enext.ua/p052004")</f>
        <v>http://enext.ua/p052004</v>
      </c>
    </row>
    <row r="3558" spans="2:7" ht="12" outlineLevel="4" x14ac:dyDescent="0.2">
      <c r="B3558" s="12"/>
      <c r="C3558" s="37" t="s">
        <v>6774</v>
      </c>
      <c r="D3558" s="12"/>
      <c r="E3558" s="13"/>
      <c r="F3558" s="13"/>
      <c r="G3558" s="12"/>
    </row>
    <row r="3559" spans="2:7" ht="11.25" outlineLevel="5" x14ac:dyDescent="0.2">
      <c r="B3559" s="14" t="s">
        <v>6775</v>
      </c>
      <c r="C3559" s="14" t="s">
        <v>6776</v>
      </c>
      <c r="D3559" s="14">
        <v>24</v>
      </c>
      <c r="E3559" s="15">
        <v>47.58</v>
      </c>
      <c r="F3559" s="16" t="s">
        <v>8</v>
      </c>
      <c r="G3559" s="38" t="str">
        <f>HYPERLINK("http://enext.ua/p023001")</f>
        <v>http://enext.ua/p023001</v>
      </c>
    </row>
    <row r="3560" spans="2:7" ht="11.25" outlineLevel="5" x14ac:dyDescent="0.2">
      <c r="B3560" s="14" t="s">
        <v>6777</v>
      </c>
      <c r="C3560" s="14" t="s">
        <v>6778</v>
      </c>
      <c r="D3560" s="14">
        <v>10</v>
      </c>
      <c r="E3560" s="15">
        <v>47.58</v>
      </c>
      <c r="F3560" s="16" t="s">
        <v>8</v>
      </c>
      <c r="G3560" s="38" t="str">
        <f>HYPERLINK("http://enext.ua/p023002")</f>
        <v>http://enext.ua/p023002</v>
      </c>
    </row>
    <row r="3561" spans="2:7" ht="11.25" outlineLevel="5" x14ac:dyDescent="0.2">
      <c r="B3561" s="14" t="s">
        <v>6779</v>
      </c>
      <c r="C3561" s="14" t="s">
        <v>6780</v>
      </c>
      <c r="D3561" s="14">
        <v>1</v>
      </c>
      <c r="E3561" s="15">
        <v>12.76</v>
      </c>
      <c r="F3561" s="16" t="s">
        <v>8</v>
      </c>
      <c r="G3561" s="38" t="str">
        <f>HYPERLINK("http://enext.ua/p023003")</f>
        <v>http://enext.ua/p023003</v>
      </c>
    </row>
    <row r="3562" spans="2:7" ht="12" outlineLevel="3" x14ac:dyDescent="0.2">
      <c r="B3562" s="10"/>
      <c r="C3562" s="36" t="s">
        <v>6781</v>
      </c>
      <c r="D3562" s="10"/>
      <c r="E3562" s="11"/>
      <c r="F3562" s="11"/>
      <c r="G3562" s="10"/>
    </row>
    <row r="3563" spans="2:7" ht="12" outlineLevel="4" x14ac:dyDescent="0.2">
      <c r="B3563" s="12"/>
      <c r="C3563" s="37" t="s">
        <v>6782</v>
      </c>
      <c r="D3563" s="12"/>
      <c r="E3563" s="13"/>
      <c r="F3563" s="13"/>
      <c r="G3563" s="12"/>
    </row>
    <row r="3564" spans="2:7" ht="11.25" outlineLevel="5" x14ac:dyDescent="0.2">
      <c r="B3564" s="14" t="s">
        <v>6783</v>
      </c>
      <c r="C3564" s="14" t="s">
        <v>6784</v>
      </c>
      <c r="D3564" s="14">
        <v>1</v>
      </c>
      <c r="E3564" s="15">
        <v>18.489999999999998</v>
      </c>
      <c r="F3564" s="16" t="s">
        <v>8</v>
      </c>
      <c r="G3564" s="38" t="str">
        <f>HYPERLINK("http://enext.ua/p037010")</f>
        <v>http://enext.ua/p037010</v>
      </c>
    </row>
    <row r="3565" spans="2:7" ht="11.25" outlineLevel="5" x14ac:dyDescent="0.2">
      <c r="B3565" s="14" t="s">
        <v>6785</v>
      </c>
      <c r="C3565" s="14" t="s">
        <v>6786</v>
      </c>
      <c r="D3565" s="14">
        <v>1</v>
      </c>
      <c r="E3565" s="15">
        <v>19.62</v>
      </c>
      <c r="F3565" s="16" t="s">
        <v>8</v>
      </c>
      <c r="G3565" s="38" t="str">
        <f>HYPERLINK("http://enext.ua/p037011")</f>
        <v>http://enext.ua/p037011</v>
      </c>
    </row>
    <row r="3566" spans="2:7" ht="11.25" outlineLevel="5" x14ac:dyDescent="0.2">
      <c r="B3566" s="14" t="s">
        <v>6787</v>
      </c>
      <c r="C3566" s="14" t="s">
        <v>6788</v>
      </c>
      <c r="D3566" s="14">
        <v>1</v>
      </c>
      <c r="E3566" s="15">
        <v>27.95</v>
      </c>
      <c r="F3566" s="16" t="s">
        <v>8</v>
      </c>
      <c r="G3566" s="38" t="str">
        <f>HYPERLINK("http://enext.ua/p037012")</f>
        <v>http://enext.ua/p037012</v>
      </c>
    </row>
    <row r="3567" spans="2:7" ht="11.25" outlineLevel="5" x14ac:dyDescent="0.2">
      <c r="B3567" s="14" t="s">
        <v>6789</v>
      </c>
      <c r="C3567" s="14" t="s">
        <v>6790</v>
      </c>
      <c r="D3567" s="14">
        <v>1</v>
      </c>
      <c r="E3567" s="15">
        <v>9.18</v>
      </c>
      <c r="F3567" s="16" t="s">
        <v>8</v>
      </c>
      <c r="G3567" s="38" t="str">
        <f>HYPERLINK("http://enext.ua/p037013")</f>
        <v>http://enext.ua/p037013</v>
      </c>
    </row>
    <row r="3568" spans="2:7" ht="12" outlineLevel="4" x14ac:dyDescent="0.2">
      <c r="B3568" s="12"/>
      <c r="C3568" s="37" t="s">
        <v>6791</v>
      </c>
      <c r="D3568" s="12"/>
      <c r="E3568" s="13"/>
      <c r="F3568" s="13"/>
      <c r="G3568" s="12"/>
    </row>
    <row r="3569" spans="2:7" ht="11.25" outlineLevel="5" x14ac:dyDescent="0.2">
      <c r="B3569" s="14" t="s">
        <v>6792</v>
      </c>
      <c r="C3569" s="14" t="s">
        <v>6793</v>
      </c>
      <c r="D3569" s="14">
        <v>1</v>
      </c>
      <c r="E3569" s="15">
        <v>91.33</v>
      </c>
      <c r="F3569" s="16" t="s">
        <v>8</v>
      </c>
      <c r="G3569" s="38" t="str">
        <f>HYPERLINK("http://enext.ua/p033001")</f>
        <v>http://enext.ua/p033001</v>
      </c>
    </row>
    <row r="3570" spans="2:7" ht="11.25" outlineLevel="5" x14ac:dyDescent="0.2">
      <c r="B3570" s="14" t="s">
        <v>6794</v>
      </c>
      <c r="C3570" s="14" t="s">
        <v>6795</v>
      </c>
      <c r="D3570" s="14">
        <v>1</v>
      </c>
      <c r="E3570" s="15">
        <v>103.95</v>
      </c>
      <c r="F3570" s="16" t="s">
        <v>8</v>
      </c>
      <c r="G3570" s="38" t="str">
        <f>HYPERLINK("http://enext.ua/p033004")</f>
        <v>http://enext.ua/p033004</v>
      </c>
    </row>
    <row r="3571" spans="2:7" ht="11.25" outlineLevel="5" x14ac:dyDescent="0.2">
      <c r="B3571" s="14" t="s">
        <v>6796</v>
      </c>
      <c r="C3571" s="14" t="s">
        <v>6797</v>
      </c>
      <c r="D3571" s="14">
        <v>1</v>
      </c>
      <c r="E3571" s="15">
        <v>99.5</v>
      </c>
      <c r="F3571" s="16" t="s">
        <v>8</v>
      </c>
      <c r="G3571" s="38" t="str">
        <f>HYPERLINK("http://enext.ua/p033002")</f>
        <v>http://enext.ua/p033002</v>
      </c>
    </row>
    <row r="3572" spans="2:7" ht="11.25" outlineLevel="5" x14ac:dyDescent="0.2">
      <c r="B3572" s="14" t="s">
        <v>6798</v>
      </c>
      <c r="C3572" s="14" t="s">
        <v>6799</v>
      </c>
      <c r="D3572" s="14">
        <v>1</v>
      </c>
      <c r="E3572" s="15">
        <v>114.35</v>
      </c>
      <c r="F3572" s="16" t="s">
        <v>8</v>
      </c>
      <c r="G3572" s="38" t="str">
        <f>HYPERLINK("http://enext.ua/p033005")</f>
        <v>http://enext.ua/p033005</v>
      </c>
    </row>
    <row r="3573" spans="2:7" ht="11.25" outlineLevel="5" x14ac:dyDescent="0.2">
      <c r="B3573" s="14" t="s">
        <v>6800</v>
      </c>
      <c r="C3573" s="14" t="s">
        <v>6801</v>
      </c>
      <c r="D3573" s="14">
        <v>1</v>
      </c>
      <c r="E3573" s="15">
        <v>114.35</v>
      </c>
      <c r="F3573" s="16" t="s">
        <v>8</v>
      </c>
      <c r="G3573" s="38" t="str">
        <f>HYPERLINK("http://enext.ua/p033003")</f>
        <v>http://enext.ua/p033003</v>
      </c>
    </row>
    <row r="3574" spans="2:7" ht="11.25" outlineLevel="5" x14ac:dyDescent="0.2">
      <c r="B3574" s="14" t="s">
        <v>6802</v>
      </c>
      <c r="C3574" s="14" t="s">
        <v>6803</v>
      </c>
      <c r="D3574" s="14">
        <v>1</v>
      </c>
      <c r="E3574" s="15">
        <v>122.52</v>
      </c>
      <c r="F3574" s="16" t="s">
        <v>8</v>
      </c>
      <c r="G3574" s="38" t="str">
        <f>HYPERLINK("http://enext.ua/p033006")</f>
        <v>http://enext.ua/p033006</v>
      </c>
    </row>
    <row r="3575" spans="2:7" ht="12" outlineLevel="4" x14ac:dyDescent="0.2">
      <c r="B3575" s="12"/>
      <c r="C3575" s="37" t="s">
        <v>6804</v>
      </c>
      <c r="D3575" s="12"/>
      <c r="E3575" s="13"/>
      <c r="F3575" s="13"/>
      <c r="G3575" s="12"/>
    </row>
    <row r="3576" spans="2:7" ht="11.25" outlineLevel="5" x14ac:dyDescent="0.2">
      <c r="B3576" s="14" t="s">
        <v>6805</v>
      </c>
      <c r="C3576" s="14" t="s">
        <v>6806</v>
      </c>
      <c r="D3576" s="14">
        <v>1</v>
      </c>
      <c r="E3576" s="15">
        <v>125.49</v>
      </c>
      <c r="F3576" s="16" t="s">
        <v>8</v>
      </c>
      <c r="G3576" s="38" t="str">
        <f>HYPERLINK("http://enext.ua/p035001")</f>
        <v>http://enext.ua/p035001</v>
      </c>
    </row>
    <row r="3577" spans="2:7" ht="11.25" outlineLevel="5" x14ac:dyDescent="0.2">
      <c r="B3577" s="14" t="s">
        <v>6807</v>
      </c>
      <c r="C3577" s="14" t="s">
        <v>6808</v>
      </c>
      <c r="D3577" s="14">
        <v>1</v>
      </c>
      <c r="E3577" s="15">
        <v>160.13999999999999</v>
      </c>
      <c r="F3577" s="16" t="s">
        <v>8</v>
      </c>
      <c r="G3577" s="38" t="str">
        <f>HYPERLINK("http://enext.ua/p035002")</f>
        <v>http://enext.ua/p035002</v>
      </c>
    </row>
    <row r="3578" spans="2:7" ht="11.25" outlineLevel="5" x14ac:dyDescent="0.2">
      <c r="B3578" s="14" t="s">
        <v>6809</v>
      </c>
      <c r="C3578" s="14" t="s">
        <v>6810</v>
      </c>
      <c r="D3578" s="14">
        <v>1</v>
      </c>
      <c r="E3578" s="15">
        <v>281.66000000000003</v>
      </c>
      <c r="F3578" s="16" t="s">
        <v>8</v>
      </c>
      <c r="G3578" s="38" t="str">
        <f>HYPERLINK("http://enext.ua/p035003")</f>
        <v>http://enext.ua/p035003</v>
      </c>
    </row>
    <row r="3579" spans="2:7" ht="12" outlineLevel="4" x14ac:dyDescent="0.2">
      <c r="B3579" s="12"/>
      <c r="C3579" s="37" t="s">
        <v>6811</v>
      </c>
      <c r="D3579" s="12"/>
      <c r="E3579" s="13"/>
      <c r="F3579" s="13"/>
      <c r="G3579" s="12"/>
    </row>
    <row r="3580" spans="2:7" ht="11.25" outlineLevel="5" x14ac:dyDescent="0.2">
      <c r="B3580" s="14" t="s">
        <v>6812</v>
      </c>
      <c r="C3580" s="14" t="s">
        <v>6813</v>
      </c>
      <c r="D3580" s="14">
        <v>1</v>
      </c>
      <c r="E3580" s="15">
        <v>77.47</v>
      </c>
      <c r="F3580" s="16" t="s">
        <v>8</v>
      </c>
      <c r="G3580" s="38" t="str">
        <f>HYPERLINK("http://enext.ua/p034001")</f>
        <v>http://enext.ua/p034001</v>
      </c>
    </row>
    <row r="3581" spans="2:7" ht="11.25" outlineLevel="5" x14ac:dyDescent="0.2">
      <c r="B3581" s="14" t="s">
        <v>6814</v>
      </c>
      <c r="C3581" s="14" t="s">
        <v>6815</v>
      </c>
      <c r="D3581" s="14">
        <v>1</v>
      </c>
      <c r="E3581" s="15">
        <v>89.93</v>
      </c>
      <c r="F3581" s="16" t="s">
        <v>8</v>
      </c>
      <c r="G3581" s="38" t="str">
        <f>HYPERLINK("http://enext.ua/p034002")</f>
        <v>http://enext.ua/p034002</v>
      </c>
    </row>
    <row r="3582" spans="2:7" ht="12" outlineLevel="4" x14ac:dyDescent="0.2">
      <c r="B3582" s="12"/>
      <c r="C3582" s="37" t="s">
        <v>6816</v>
      </c>
      <c r="D3582" s="12"/>
      <c r="E3582" s="13"/>
      <c r="F3582" s="13"/>
      <c r="G3582" s="12"/>
    </row>
    <row r="3583" spans="2:7" ht="11.25" outlineLevel="5" x14ac:dyDescent="0.2">
      <c r="B3583" s="14" t="s">
        <v>6817</v>
      </c>
      <c r="C3583" s="14" t="s">
        <v>6818</v>
      </c>
      <c r="D3583" s="14">
        <v>1</v>
      </c>
      <c r="E3583" s="15">
        <v>111.63</v>
      </c>
      <c r="F3583" s="16" t="s">
        <v>8</v>
      </c>
      <c r="G3583" s="38" t="str">
        <f>HYPERLINK("http://enext.ua/p031001")</f>
        <v>http://enext.ua/p031001</v>
      </c>
    </row>
    <row r="3584" spans="2:7" ht="11.25" outlineLevel="5" x14ac:dyDescent="0.2">
      <c r="B3584" s="14" t="s">
        <v>6819</v>
      </c>
      <c r="C3584" s="14" t="s">
        <v>6820</v>
      </c>
      <c r="D3584" s="14">
        <v>1</v>
      </c>
      <c r="E3584" s="15">
        <v>134.63999999999999</v>
      </c>
      <c r="F3584" s="16" t="s">
        <v>8</v>
      </c>
      <c r="G3584" s="38" t="str">
        <f>HYPERLINK("http://enext.ua/p031004")</f>
        <v>http://enext.ua/p031004</v>
      </c>
    </row>
    <row r="3585" spans="2:7" ht="11.25" outlineLevel="5" x14ac:dyDescent="0.2">
      <c r="B3585" s="14" t="s">
        <v>6821</v>
      </c>
      <c r="C3585" s="14" t="s">
        <v>6822</v>
      </c>
      <c r="D3585" s="14">
        <v>1</v>
      </c>
      <c r="E3585" s="15">
        <v>119.3</v>
      </c>
      <c r="F3585" s="16" t="s">
        <v>8</v>
      </c>
      <c r="G3585" s="38" t="str">
        <f>HYPERLINK("http://enext.ua/p031002")</f>
        <v>http://enext.ua/p031002</v>
      </c>
    </row>
    <row r="3586" spans="2:7" ht="11.25" outlineLevel="5" x14ac:dyDescent="0.2">
      <c r="B3586" s="14" t="s">
        <v>6823</v>
      </c>
      <c r="C3586" s="14" t="s">
        <v>6824</v>
      </c>
      <c r="D3586" s="14">
        <v>1</v>
      </c>
      <c r="E3586" s="15">
        <v>122.52</v>
      </c>
      <c r="F3586" s="16" t="s">
        <v>8</v>
      </c>
      <c r="G3586" s="38" t="str">
        <f>HYPERLINK("http://enext.ua/p031005")</f>
        <v>http://enext.ua/p031005</v>
      </c>
    </row>
    <row r="3587" spans="2:7" ht="11.25" outlineLevel="5" x14ac:dyDescent="0.2">
      <c r="B3587" s="14" t="s">
        <v>6825</v>
      </c>
      <c r="C3587" s="14" t="s">
        <v>6826</v>
      </c>
      <c r="D3587" s="14">
        <v>1</v>
      </c>
      <c r="E3587" s="15">
        <v>110.64</v>
      </c>
      <c r="F3587" s="16" t="s">
        <v>8</v>
      </c>
      <c r="G3587" s="38" t="str">
        <f>HYPERLINK("http://enext.ua/p031003")</f>
        <v>http://enext.ua/p031003</v>
      </c>
    </row>
    <row r="3588" spans="2:7" ht="11.25" outlineLevel="5" x14ac:dyDescent="0.2">
      <c r="B3588" s="14" t="s">
        <v>6827</v>
      </c>
      <c r="C3588" s="14" t="s">
        <v>6828</v>
      </c>
      <c r="D3588" s="14">
        <v>1</v>
      </c>
      <c r="E3588" s="15">
        <v>141.08000000000001</v>
      </c>
      <c r="F3588" s="16" t="s">
        <v>8</v>
      </c>
      <c r="G3588" s="38" t="str">
        <f>HYPERLINK("http://enext.ua/p031006")</f>
        <v>http://enext.ua/p031006</v>
      </c>
    </row>
    <row r="3589" spans="2:7" ht="11.25" outlineLevel="5" x14ac:dyDescent="0.2">
      <c r="B3589" s="14" t="s">
        <v>6829</v>
      </c>
      <c r="C3589" s="14" t="s">
        <v>6830</v>
      </c>
      <c r="D3589" s="14">
        <v>1</v>
      </c>
      <c r="E3589" s="15">
        <v>180.4</v>
      </c>
      <c r="F3589" s="16" t="s">
        <v>8</v>
      </c>
      <c r="G3589" s="38" t="str">
        <f>HYPERLINK("http://enext.ua/p031007")</f>
        <v>http://enext.ua/p031007</v>
      </c>
    </row>
    <row r="3590" spans="2:7" ht="12" outlineLevel="4" x14ac:dyDescent="0.2">
      <c r="B3590" s="12"/>
      <c r="C3590" s="37" t="s">
        <v>6831</v>
      </c>
      <c r="D3590" s="12"/>
      <c r="E3590" s="13"/>
      <c r="F3590" s="13"/>
      <c r="G3590" s="12"/>
    </row>
    <row r="3591" spans="2:7" ht="11.25" outlineLevel="5" x14ac:dyDescent="0.2">
      <c r="B3591" s="14" t="s">
        <v>6832</v>
      </c>
      <c r="C3591" s="14" t="s">
        <v>6833</v>
      </c>
      <c r="D3591" s="14">
        <v>1</v>
      </c>
      <c r="E3591" s="15">
        <v>117.57</v>
      </c>
      <c r="F3591" s="16" t="s">
        <v>8</v>
      </c>
      <c r="G3591" s="38" t="str">
        <f>HYPERLINK("http://enext.ua/p032001")</f>
        <v>http://enext.ua/p032001</v>
      </c>
    </row>
    <row r="3592" spans="2:7" ht="11.25" outlineLevel="5" x14ac:dyDescent="0.2">
      <c r="B3592" s="14" t="s">
        <v>6834</v>
      </c>
      <c r="C3592" s="14" t="s">
        <v>6835</v>
      </c>
      <c r="D3592" s="14">
        <v>1</v>
      </c>
      <c r="E3592" s="15">
        <v>123.2</v>
      </c>
      <c r="F3592" s="16" t="s">
        <v>8</v>
      </c>
      <c r="G3592" s="38" t="str">
        <f>HYPERLINK("http://enext.ua/p032002")</f>
        <v>http://enext.ua/p032002</v>
      </c>
    </row>
    <row r="3593" spans="2:7" ht="12" outlineLevel="4" x14ac:dyDescent="0.2">
      <c r="B3593" s="12"/>
      <c r="C3593" s="37" t="s">
        <v>6836</v>
      </c>
      <c r="D3593" s="12"/>
      <c r="E3593" s="13"/>
      <c r="F3593" s="13"/>
      <c r="G3593" s="12"/>
    </row>
    <row r="3594" spans="2:7" ht="11.25" outlineLevel="5" x14ac:dyDescent="0.2">
      <c r="B3594" s="14" t="s">
        <v>6837</v>
      </c>
      <c r="C3594" s="14" t="s">
        <v>6838</v>
      </c>
      <c r="D3594" s="14">
        <v>1</v>
      </c>
      <c r="E3594" s="15">
        <v>104.5</v>
      </c>
      <c r="F3594" s="16" t="s">
        <v>8</v>
      </c>
      <c r="G3594" s="38" t="str">
        <f>HYPERLINK("http://enext.ua/p038001")</f>
        <v>http://enext.ua/p038001</v>
      </c>
    </row>
    <row r="3595" spans="2:7" ht="12" outlineLevel="4" x14ac:dyDescent="0.2">
      <c r="B3595" s="12"/>
      <c r="C3595" s="37" t="s">
        <v>6839</v>
      </c>
      <c r="D3595" s="12"/>
      <c r="E3595" s="13"/>
      <c r="F3595" s="13"/>
      <c r="G3595" s="12"/>
    </row>
    <row r="3596" spans="2:7" ht="11.25" outlineLevel="5" x14ac:dyDescent="0.2">
      <c r="B3596" s="14" t="s">
        <v>6840</v>
      </c>
      <c r="C3596" s="14" t="s">
        <v>6841</v>
      </c>
      <c r="D3596" s="14">
        <v>1</v>
      </c>
      <c r="E3596" s="15">
        <v>110</v>
      </c>
      <c r="F3596" s="16" t="s">
        <v>8</v>
      </c>
      <c r="G3596" s="38" t="str">
        <f>HYPERLINK("http://enext.ua/p037001")</f>
        <v>http://enext.ua/p037001</v>
      </c>
    </row>
    <row r="3597" spans="2:7" ht="11.25" outlineLevel="5" x14ac:dyDescent="0.2">
      <c r="B3597" s="14" t="s">
        <v>6842</v>
      </c>
      <c r="C3597" s="14" t="s">
        <v>6843</v>
      </c>
      <c r="D3597" s="14">
        <v>1</v>
      </c>
      <c r="E3597" s="15">
        <v>233.48</v>
      </c>
      <c r="F3597" s="16" t="s">
        <v>8</v>
      </c>
      <c r="G3597" s="38" t="str">
        <f>HYPERLINK("http://enext.ua/p037002")</f>
        <v>http://enext.ua/p037002</v>
      </c>
    </row>
    <row r="3598" spans="2:7" ht="11.25" outlineLevel="5" x14ac:dyDescent="0.2">
      <c r="B3598" s="14" t="s">
        <v>6844</v>
      </c>
      <c r="C3598" s="14" t="s">
        <v>6845</v>
      </c>
      <c r="D3598" s="14">
        <v>1</v>
      </c>
      <c r="E3598" s="15">
        <v>73.31</v>
      </c>
      <c r="F3598" s="16" t="s">
        <v>8</v>
      </c>
      <c r="G3598" s="38" t="str">
        <f>HYPERLINK("http://enext.ua/p037286")</f>
        <v>http://enext.ua/p037286</v>
      </c>
    </row>
    <row r="3599" spans="2:7" ht="12" outlineLevel="4" x14ac:dyDescent="0.2">
      <c r="B3599" s="12"/>
      <c r="C3599" s="37" t="s">
        <v>6846</v>
      </c>
      <c r="D3599" s="12"/>
      <c r="E3599" s="13"/>
      <c r="F3599" s="13"/>
      <c r="G3599" s="12"/>
    </row>
    <row r="3600" spans="2:7" ht="11.25" outlineLevel="5" x14ac:dyDescent="0.2">
      <c r="B3600" s="14" t="s">
        <v>6847</v>
      </c>
      <c r="C3600" s="14" t="s">
        <v>6848</v>
      </c>
      <c r="D3600" s="14">
        <v>1</v>
      </c>
      <c r="E3600" s="15">
        <v>111.38</v>
      </c>
      <c r="F3600" s="16" t="s">
        <v>8</v>
      </c>
      <c r="G3600" s="38" t="str">
        <f>HYPERLINK("http://enext.ua/p039002")</f>
        <v>http://enext.ua/p039002</v>
      </c>
    </row>
    <row r="3601" spans="2:7" ht="11.25" outlineLevel="5" x14ac:dyDescent="0.2">
      <c r="B3601" s="14" t="s">
        <v>6849</v>
      </c>
      <c r="C3601" s="14" t="s">
        <v>6850</v>
      </c>
      <c r="D3601" s="14">
        <v>1</v>
      </c>
      <c r="E3601" s="15">
        <v>119.08</v>
      </c>
      <c r="F3601" s="16" t="s">
        <v>8</v>
      </c>
      <c r="G3601" s="38" t="str">
        <f>HYPERLINK("http://enext.ua/p039001")</f>
        <v>http://enext.ua/p039001</v>
      </c>
    </row>
    <row r="3602" spans="2:7" ht="11.25" outlineLevel="5" x14ac:dyDescent="0.2">
      <c r="B3602" s="14" t="s">
        <v>6851</v>
      </c>
      <c r="C3602" s="14" t="s">
        <v>6852</v>
      </c>
      <c r="D3602" s="14">
        <v>1</v>
      </c>
      <c r="E3602" s="15">
        <v>78</v>
      </c>
      <c r="F3602" s="16" t="s">
        <v>8</v>
      </c>
      <c r="G3602" s="38" t="str">
        <f>HYPERLINK("http://enext.ua/p039252")</f>
        <v>http://enext.ua/p039252</v>
      </c>
    </row>
    <row r="3603" spans="2:7" ht="12" outlineLevel="3" x14ac:dyDescent="0.2">
      <c r="B3603" s="10"/>
      <c r="C3603" s="36" t="s">
        <v>6853</v>
      </c>
      <c r="D3603" s="10"/>
      <c r="E3603" s="11"/>
      <c r="F3603" s="11"/>
      <c r="G3603" s="10"/>
    </row>
    <row r="3604" spans="2:7" ht="11.25" outlineLevel="4" x14ac:dyDescent="0.2">
      <c r="B3604" s="14" t="s">
        <v>6854</v>
      </c>
      <c r="C3604" s="14" t="s">
        <v>6855</v>
      </c>
      <c r="D3604" s="14">
        <v>1</v>
      </c>
      <c r="E3604" s="15">
        <v>320.76</v>
      </c>
      <c r="F3604" s="16" t="s">
        <v>8</v>
      </c>
      <c r="G3604" s="38" t="str">
        <f>HYPERLINK("http://enext.ua/p040003")</f>
        <v>http://enext.ua/p040003</v>
      </c>
    </row>
    <row r="3605" spans="2:7" ht="11.25" outlineLevel="4" x14ac:dyDescent="0.2">
      <c r="B3605" s="14" t="s">
        <v>6856</v>
      </c>
      <c r="C3605" s="14" t="s">
        <v>6857</v>
      </c>
      <c r="D3605" s="14">
        <v>1</v>
      </c>
      <c r="E3605" s="17">
        <v>1095.5999999999999</v>
      </c>
      <c r="F3605" s="16" t="s">
        <v>8</v>
      </c>
      <c r="G3605" s="38" t="str">
        <f>HYPERLINK("http://enext.ua/p040004")</f>
        <v>http://enext.ua/p040004</v>
      </c>
    </row>
    <row r="3606" spans="2:7" ht="11.25" outlineLevel="4" x14ac:dyDescent="0.2">
      <c r="B3606" s="14" t="s">
        <v>6858</v>
      </c>
      <c r="C3606" s="14" t="s">
        <v>6859</v>
      </c>
      <c r="D3606" s="14">
        <v>1</v>
      </c>
      <c r="E3606" s="17">
        <v>1096.48</v>
      </c>
      <c r="F3606" s="16" t="s">
        <v>8</v>
      </c>
      <c r="G3606" s="38" t="str">
        <f>HYPERLINK("http://enext.ua/p040005")</f>
        <v>http://enext.ua/p040005</v>
      </c>
    </row>
    <row r="3607" spans="2:7" ht="11.25" outlineLevel="4" x14ac:dyDescent="0.2">
      <c r="B3607" s="14" t="s">
        <v>6860</v>
      </c>
      <c r="C3607" s="14" t="s">
        <v>6861</v>
      </c>
      <c r="D3607" s="14">
        <v>1</v>
      </c>
      <c r="E3607" s="17">
        <v>1237.9100000000001</v>
      </c>
      <c r="F3607" s="16" t="s">
        <v>8</v>
      </c>
      <c r="G3607" s="38" t="str">
        <f>HYPERLINK("http://enext.ua/p040006")</f>
        <v>http://enext.ua/p040006</v>
      </c>
    </row>
    <row r="3608" spans="2:7" ht="11.25" outlineLevel="4" x14ac:dyDescent="0.2">
      <c r="B3608" s="14" t="s">
        <v>6862</v>
      </c>
      <c r="C3608" s="14" t="s">
        <v>6863</v>
      </c>
      <c r="D3608" s="14">
        <v>1</v>
      </c>
      <c r="E3608" s="17">
        <v>1421.15</v>
      </c>
      <c r="F3608" s="16" t="s">
        <v>8</v>
      </c>
      <c r="G3608" s="38" t="str">
        <f>HYPERLINK("http://enext.ua/p040007")</f>
        <v>http://enext.ua/p040007</v>
      </c>
    </row>
    <row r="3609" spans="2:7" ht="11.25" outlineLevel="4" x14ac:dyDescent="0.2">
      <c r="B3609" s="14" t="s">
        <v>6864</v>
      </c>
      <c r="C3609" s="14" t="s">
        <v>6865</v>
      </c>
      <c r="D3609" s="14">
        <v>1</v>
      </c>
      <c r="E3609" s="17">
        <v>1470.04</v>
      </c>
      <c r="F3609" s="16" t="s">
        <v>8</v>
      </c>
      <c r="G3609" s="38" t="str">
        <f>HYPERLINK("http://enext.ua/p040008")</f>
        <v>http://enext.ua/p040008</v>
      </c>
    </row>
    <row r="3610" spans="2:7" ht="11.25" outlineLevel="4" x14ac:dyDescent="0.2">
      <c r="B3610" s="14" t="s">
        <v>6866</v>
      </c>
      <c r="C3610" s="14" t="s">
        <v>6867</v>
      </c>
      <c r="D3610" s="14">
        <v>1</v>
      </c>
      <c r="E3610" s="17">
        <v>2253.6799999999998</v>
      </c>
      <c r="F3610" s="16" t="s">
        <v>8</v>
      </c>
      <c r="G3610" s="38" t="str">
        <f>HYPERLINK("http://enext.ua/p040009")</f>
        <v>http://enext.ua/p040009</v>
      </c>
    </row>
    <row r="3611" spans="2:7" ht="11.25" outlineLevel="4" x14ac:dyDescent="0.2">
      <c r="B3611" s="14" t="s">
        <v>6868</v>
      </c>
      <c r="C3611" s="14" t="s">
        <v>6869</v>
      </c>
      <c r="D3611" s="14">
        <v>1</v>
      </c>
      <c r="E3611" s="17">
        <v>1807.6</v>
      </c>
      <c r="F3611" s="16" t="s">
        <v>8</v>
      </c>
      <c r="G3611" s="38" t="str">
        <f>HYPERLINK("http://enext.ua/p040015")</f>
        <v>http://enext.ua/p040015</v>
      </c>
    </row>
    <row r="3612" spans="2:7" ht="11.25" outlineLevel="4" x14ac:dyDescent="0.2">
      <c r="B3612" s="14" t="s">
        <v>6870</v>
      </c>
      <c r="C3612" s="14" t="s">
        <v>6871</v>
      </c>
      <c r="D3612" s="14">
        <v>1</v>
      </c>
      <c r="E3612" s="17">
        <v>1995.62</v>
      </c>
      <c r="F3612" s="16" t="s">
        <v>8</v>
      </c>
      <c r="G3612" s="38" t="str">
        <f>HYPERLINK("http://enext.ua/p040016")</f>
        <v>http://enext.ua/p040016</v>
      </c>
    </row>
    <row r="3613" spans="2:7" ht="11.25" outlineLevel="4" x14ac:dyDescent="0.2">
      <c r="B3613" s="14" t="s">
        <v>6872</v>
      </c>
      <c r="C3613" s="14" t="s">
        <v>6873</v>
      </c>
      <c r="D3613" s="14">
        <v>100</v>
      </c>
      <c r="E3613" s="15">
        <v>3.52</v>
      </c>
      <c r="F3613" s="16" t="s">
        <v>8</v>
      </c>
      <c r="G3613" s="38" t="str">
        <f>HYPERLINK("http://enext.ua/p040010")</f>
        <v>http://enext.ua/p040010</v>
      </c>
    </row>
    <row r="3614" spans="2:7" ht="11.25" outlineLevel="4" x14ac:dyDescent="0.2">
      <c r="B3614" s="14" t="s">
        <v>6874</v>
      </c>
      <c r="C3614" s="14" t="s">
        <v>6875</v>
      </c>
      <c r="D3614" s="14">
        <v>100</v>
      </c>
      <c r="E3614" s="15">
        <v>5.5</v>
      </c>
      <c r="F3614" s="16" t="s">
        <v>8</v>
      </c>
      <c r="G3614" s="38" t="str">
        <f>HYPERLINK("http://enext.ua/p040011")</f>
        <v>http://enext.ua/p040011</v>
      </c>
    </row>
    <row r="3615" spans="2:7" ht="11.25" outlineLevel="4" x14ac:dyDescent="0.2">
      <c r="B3615" s="14" t="s">
        <v>6876</v>
      </c>
      <c r="C3615" s="14" t="s">
        <v>6877</v>
      </c>
      <c r="D3615" s="14">
        <v>100</v>
      </c>
      <c r="E3615" s="15">
        <v>5.28</v>
      </c>
      <c r="F3615" s="16" t="s">
        <v>8</v>
      </c>
      <c r="G3615" s="38" t="str">
        <f>HYPERLINK("http://enext.ua/p040012")</f>
        <v>http://enext.ua/p040012</v>
      </c>
    </row>
    <row r="3616" spans="2:7" ht="11.25" outlineLevel="4" x14ac:dyDescent="0.2">
      <c r="B3616" s="14" t="s">
        <v>6878</v>
      </c>
      <c r="C3616" s="14" t="s">
        <v>6879</v>
      </c>
      <c r="D3616" s="14">
        <v>100</v>
      </c>
      <c r="E3616" s="15">
        <v>15.13</v>
      </c>
      <c r="F3616" s="16" t="s">
        <v>8</v>
      </c>
      <c r="G3616" s="38" t="str">
        <f>HYPERLINK("http://enext.ua/p040013")</f>
        <v>http://enext.ua/p040013</v>
      </c>
    </row>
    <row r="3617" spans="2:7" ht="11.25" outlineLevel="4" x14ac:dyDescent="0.2">
      <c r="B3617" s="14" t="s">
        <v>6880</v>
      </c>
      <c r="C3617" s="14" t="s">
        <v>6881</v>
      </c>
      <c r="D3617" s="14">
        <v>100</v>
      </c>
      <c r="E3617" s="15">
        <v>12.76</v>
      </c>
      <c r="F3617" s="16" t="s">
        <v>8</v>
      </c>
      <c r="G3617" s="38" t="str">
        <f>HYPERLINK("http://enext.ua/p040014")</f>
        <v>http://enext.ua/p040014</v>
      </c>
    </row>
    <row r="3618" spans="2:7" ht="11.25" outlineLevel="4" x14ac:dyDescent="0.2">
      <c r="B3618" s="14" t="s">
        <v>6882</v>
      </c>
      <c r="C3618" s="14" t="s">
        <v>6883</v>
      </c>
      <c r="D3618" s="14">
        <v>1</v>
      </c>
      <c r="E3618" s="15">
        <v>7.04</v>
      </c>
      <c r="F3618" s="16" t="s">
        <v>8</v>
      </c>
      <c r="G3618" s="14"/>
    </row>
    <row r="3619" spans="2:7" ht="12" outlineLevel="3" x14ac:dyDescent="0.2">
      <c r="B3619" s="10"/>
      <c r="C3619" s="36" t="s">
        <v>6884</v>
      </c>
      <c r="D3619" s="10"/>
      <c r="E3619" s="11"/>
      <c r="F3619" s="11"/>
      <c r="G3619" s="10"/>
    </row>
    <row r="3620" spans="2:7" ht="11.25" outlineLevel="4" x14ac:dyDescent="0.2">
      <c r="B3620" s="14" t="s">
        <v>6885</v>
      </c>
      <c r="C3620" s="14" t="s">
        <v>6886</v>
      </c>
      <c r="D3620" s="14">
        <v>1</v>
      </c>
      <c r="E3620" s="15">
        <v>60.83</v>
      </c>
      <c r="F3620" s="16" t="s">
        <v>8</v>
      </c>
      <c r="G3620" s="38" t="str">
        <f>HYPERLINK("http://enext.ua/p048004")</f>
        <v>http://enext.ua/p048004</v>
      </c>
    </row>
    <row r="3621" spans="2:7" ht="11.25" outlineLevel="4" x14ac:dyDescent="0.2">
      <c r="B3621" s="14" t="s">
        <v>6887</v>
      </c>
      <c r="C3621" s="14" t="s">
        <v>6888</v>
      </c>
      <c r="D3621" s="14">
        <v>1</v>
      </c>
      <c r="E3621" s="15">
        <v>62.37</v>
      </c>
      <c r="F3621" s="16" t="s">
        <v>8</v>
      </c>
      <c r="G3621" s="38" t="str">
        <f>HYPERLINK("http://enext.ua/p048003")</f>
        <v>http://enext.ua/p048003</v>
      </c>
    </row>
    <row r="3622" spans="2:7" ht="11.25" outlineLevel="4" x14ac:dyDescent="0.2">
      <c r="B3622" s="14" t="s">
        <v>6889</v>
      </c>
      <c r="C3622" s="14" t="s">
        <v>6890</v>
      </c>
      <c r="D3622" s="14">
        <v>1</v>
      </c>
      <c r="E3622" s="15">
        <v>65.45</v>
      </c>
      <c r="F3622" s="16" t="s">
        <v>8</v>
      </c>
      <c r="G3622" s="38" t="str">
        <f>HYPERLINK("http://enext.ua/p048010")</f>
        <v>http://enext.ua/p048010</v>
      </c>
    </row>
    <row r="3623" spans="2:7" ht="11.25" outlineLevel="4" x14ac:dyDescent="0.2">
      <c r="B3623" s="14" t="s">
        <v>6891</v>
      </c>
      <c r="C3623" s="14" t="s">
        <v>6892</v>
      </c>
      <c r="D3623" s="14">
        <v>1</v>
      </c>
      <c r="E3623" s="15">
        <v>68.34</v>
      </c>
      <c r="F3623" s="16" t="s">
        <v>8</v>
      </c>
      <c r="G3623" s="38" t="str">
        <f>HYPERLINK("http://enext.ua/p048002")</f>
        <v>http://enext.ua/p048002</v>
      </c>
    </row>
    <row r="3624" spans="2:7" ht="11.25" outlineLevel="4" x14ac:dyDescent="0.2">
      <c r="B3624" s="14" t="s">
        <v>6893</v>
      </c>
      <c r="C3624" s="14" t="s">
        <v>6894</v>
      </c>
      <c r="D3624" s="14">
        <v>1</v>
      </c>
      <c r="E3624" s="15">
        <v>68.92</v>
      </c>
      <c r="F3624" s="16" t="s">
        <v>8</v>
      </c>
      <c r="G3624" s="38" t="str">
        <f>HYPERLINK("http://enext.ua/p048008")</f>
        <v>http://enext.ua/p048008</v>
      </c>
    </row>
    <row r="3625" spans="2:7" ht="11.25" outlineLevel="4" x14ac:dyDescent="0.2">
      <c r="B3625" s="14" t="s">
        <v>6895</v>
      </c>
      <c r="C3625" s="14" t="s">
        <v>6896</v>
      </c>
      <c r="D3625" s="14">
        <v>1</v>
      </c>
      <c r="E3625" s="15">
        <v>99.55</v>
      </c>
      <c r="F3625" s="16" t="s">
        <v>8</v>
      </c>
      <c r="G3625" s="38" t="str">
        <f>HYPERLINK("http://enext.ua/p048001")</f>
        <v>http://enext.ua/p048001</v>
      </c>
    </row>
    <row r="3626" spans="2:7" ht="11.25" outlineLevel="4" x14ac:dyDescent="0.2">
      <c r="B3626" s="14" t="s">
        <v>6897</v>
      </c>
      <c r="C3626" s="14" t="s">
        <v>6898</v>
      </c>
      <c r="D3626" s="14">
        <v>1</v>
      </c>
      <c r="E3626" s="15">
        <v>103.95</v>
      </c>
      <c r="F3626" s="16" t="s">
        <v>8</v>
      </c>
      <c r="G3626" s="38" t="str">
        <f>HYPERLINK("http://enext.ua/p048009")</f>
        <v>http://enext.ua/p048009</v>
      </c>
    </row>
    <row r="3627" spans="2:7" ht="11.25" outlineLevel="4" x14ac:dyDescent="0.2">
      <c r="B3627" s="14" t="s">
        <v>6899</v>
      </c>
      <c r="C3627" s="14" t="s">
        <v>6900</v>
      </c>
      <c r="D3627" s="14">
        <v>1</v>
      </c>
      <c r="E3627" s="15">
        <v>108.08</v>
      </c>
      <c r="F3627" s="16" t="s">
        <v>8</v>
      </c>
      <c r="G3627" s="38" t="str">
        <f>HYPERLINK("http://enext.ua/p048005")</f>
        <v>http://enext.ua/p048005</v>
      </c>
    </row>
    <row r="3628" spans="2:7" ht="11.25" outlineLevel="4" x14ac:dyDescent="0.2">
      <c r="B3628" s="14" t="s">
        <v>6901</v>
      </c>
      <c r="C3628" s="14" t="s">
        <v>6902</v>
      </c>
      <c r="D3628" s="14">
        <v>1</v>
      </c>
      <c r="E3628" s="15">
        <v>127.6</v>
      </c>
      <c r="F3628" s="16" t="s">
        <v>8</v>
      </c>
      <c r="G3628" s="38" t="str">
        <f>HYPERLINK("http://enext.ua/p048006")</f>
        <v>http://enext.ua/p048006</v>
      </c>
    </row>
    <row r="3629" spans="2:7" ht="11.25" outlineLevel="4" x14ac:dyDescent="0.2">
      <c r="B3629" s="14" t="s">
        <v>6903</v>
      </c>
      <c r="C3629" s="14" t="s">
        <v>6904</v>
      </c>
      <c r="D3629" s="14">
        <v>1</v>
      </c>
      <c r="E3629" s="15">
        <v>163.08000000000001</v>
      </c>
      <c r="F3629" s="16" t="s">
        <v>8</v>
      </c>
      <c r="G3629" s="38" t="str">
        <f>HYPERLINK("http://enext.ua/p048007")</f>
        <v>http://enext.ua/p048007</v>
      </c>
    </row>
    <row r="3630" spans="2:7" ht="12" outlineLevel="3" x14ac:dyDescent="0.2">
      <c r="B3630" s="10"/>
      <c r="C3630" s="36" t="s">
        <v>6905</v>
      </c>
      <c r="D3630" s="10"/>
      <c r="E3630" s="11"/>
      <c r="F3630" s="11"/>
      <c r="G3630" s="10"/>
    </row>
    <row r="3631" spans="2:7" ht="11.25" outlineLevel="4" x14ac:dyDescent="0.2">
      <c r="B3631" s="14" t="s">
        <v>6906</v>
      </c>
      <c r="C3631" s="14" t="s">
        <v>6907</v>
      </c>
      <c r="D3631" s="14">
        <v>5</v>
      </c>
      <c r="E3631" s="15">
        <v>137.5</v>
      </c>
      <c r="F3631" s="16" t="s">
        <v>8</v>
      </c>
      <c r="G3631" s="38" t="str">
        <f>HYPERLINK("http://enext.ua/p0630005")</f>
        <v>http://enext.ua/p0630005</v>
      </c>
    </row>
    <row r="3632" spans="2:7" ht="11.25" outlineLevel="4" x14ac:dyDescent="0.2">
      <c r="B3632" s="14" t="s">
        <v>6908</v>
      </c>
      <c r="C3632" s="14" t="s">
        <v>6909</v>
      </c>
      <c r="D3632" s="14">
        <v>1</v>
      </c>
      <c r="E3632" s="15">
        <v>137.5</v>
      </c>
      <c r="F3632" s="16" t="s">
        <v>8</v>
      </c>
      <c r="G3632" s="38" t="str">
        <f>HYPERLINK("http://enext.ua/p0630006")</f>
        <v>http://enext.ua/p0630006</v>
      </c>
    </row>
    <row r="3633" spans="2:7" ht="11.25" outlineLevel="4" x14ac:dyDescent="0.2">
      <c r="B3633" s="14" t="s">
        <v>6910</v>
      </c>
      <c r="C3633" s="14" t="s">
        <v>6911</v>
      </c>
      <c r="D3633" s="14">
        <v>1</v>
      </c>
      <c r="E3633" s="15">
        <v>137.5</v>
      </c>
      <c r="F3633" s="16" t="s">
        <v>8</v>
      </c>
      <c r="G3633" s="38" t="str">
        <f>HYPERLINK("http://enext.ua/p0630007")</f>
        <v>http://enext.ua/p0630007</v>
      </c>
    </row>
    <row r="3634" spans="2:7" ht="11.25" outlineLevel="4" x14ac:dyDescent="0.2">
      <c r="B3634" s="14" t="s">
        <v>6912</v>
      </c>
      <c r="C3634" s="14" t="s">
        <v>6913</v>
      </c>
      <c r="D3634" s="14">
        <v>1</v>
      </c>
      <c r="E3634" s="15">
        <v>148.5</v>
      </c>
      <c r="F3634" s="16" t="s">
        <v>8</v>
      </c>
      <c r="G3634" s="38" t="str">
        <f>HYPERLINK("http://enext.ua/p0630001")</f>
        <v>http://enext.ua/p0630001</v>
      </c>
    </row>
    <row r="3635" spans="2:7" ht="11.25" outlineLevel="4" x14ac:dyDescent="0.2">
      <c r="B3635" s="14" t="s">
        <v>6914</v>
      </c>
      <c r="C3635" s="14" t="s">
        <v>6915</v>
      </c>
      <c r="D3635" s="14">
        <v>1</v>
      </c>
      <c r="E3635" s="15">
        <v>150.97999999999999</v>
      </c>
      <c r="F3635" s="16" t="s">
        <v>8</v>
      </c>
      <c r="G3635" s="38" t="str">
        <f>HYPERLINK("http://enext.ua/p0630002")</f>
        <v>http://enext.ua/p0630002</v>
      </c>
    </row>
    <row r="3636" spans="2:7" ht="11.25" outlineLevel="4" x14ac:dyDescent="0.2">
      <c r="B3636" s="14" t="s">
        <v>6916</v>
      </c>
      <c r="C3636" s="14" t="s">
        <v>6917</v>
      </c>
      <c r="D3636" s="14">
        <v>1</v>
      </c>
      <c r="E3636" s="15">
        <v>152.9</v>
      </c>
      <c r="F3636" s="16" t="s">
        <v>8</v>
      </c>
      <c r="G3636" s="38" t="str">
        <f>HYPERLINK("http://enext.ua/p0630003")</f>
        <v>http://enext.ua/p0630003</v>
      </c>
    </row>
    <row r="3637" spans="2:7" ht="11.25" outlineLevel="4" x14ac:dyDescent="0.2">
      <c r="B3637" s="14" t="s">
        <v>6918</v>
      </c>
      <c r="C3637" s="14" t="s">
        <v>6919</v>
      </c>
      <c r="D3637" s="14">
        <v>1</v>
      </c>
      <c r="E3637" s="15">
        <v>217.53</v>
      </c>
      <c r="F3637" s="16" t="s">
        <v>8</v>
      </c>
      <c r="G3637" s="38" t="str">
        <f>HYPERLINK("http://enext.ua/p0630004")</f>
        <v>http://enext.ua/p0630004</v>
      </c>
    </row>
    <row r="3638" spans="2:7" ht="12" outlineLevel="3" x14ac:dyDescent="0.2">
      <c r="B3638" s="10"/>
      <c r="C3638" s="36" t="s">
        <v>6920</v>
      </c>
      <c r="D3638" s="10"/>
      <c r="E3638" s="11"/>
      <c r="F3638" s="11"/>
      <c r="G3638" s="10"/>
    </row>
    <row r="3639" spans="2:7" ht="12" outlineLevel="4" x14ac:dyDescent="0.2">
      <c r="B3639" s="12"/>
      <c r="C3639" s="37" t="s">
        <v>6921</v>
      </c>
      <c r="D3639" s="12"/>
      <c r="E3639" s="13"/>
      <c r="F3639" s="13"/>
      <c r="G3639" s="12"/>
    </row>
    <row r="3640" spans="2:7" ht="11.25" outlineLevel="5" x14ac:dyDescent="0.2">
      <c r="B3640" s="14" t="s">
        <v>6922</v>
      </c>
      <c r="C3640" s="14" t="s">
        <v>6923</v>
      </c>
      <c r="D3640" s="14">
        <v>1</v>
      </c>
      <c r="E3640" s="15">
        <v>450.45</v>
      </c>
      <c r="F3640" s="16" t="s">
        <v>8</v>
      </c>
      <c r="G3640" s="38" t="str">
        <f>HYPERLINK("http://enext.ua/PZ-M1 280/10")</f>
        <v>http://enext.ua/PZ-M1 280/10</v>
      </c>
    </row>
    <row r="3641" spans="2:7" ht="11.25" outlineLevel="5" x14ac:dyDescent="0.2">
      <c r="B3641" s="14" t="s">
        <v>6924</v>
      </c>
      <c r="C3641" s="14" t="s">
        <v>6925</v>
      </c>
      <c r="D3641" s="14">
        <v>1</v>
      </c>
      <c r="E3641" s="15">
        <v>427.92</v>
      </c>
      <c r="F3641" s="16" t="s">
        <v>8</v>
      </c>
      <c r="G3641" s="38" t="str">
        <f>HYPERLINK("http://enext.ua/PZ-M1 280/5")</f>
        <v>http://enext.ua/PZ-M1 280/5</v>
      </c>
    </row>
    <row r="3642" spans="2:7" ht="11.25" outlineLevel="5" x14ac:dyDescent="0.2">
      <c r="B3642" s="14" t="s">
        <v>6926</v>
      </c>
      <c r="C3642" s="14" t="s">
        <v>6927</v>
      </c>
      <c r="D3642" s="14">
        <v>1</v>
      </c>
      <c r="E3642" s="15">
        <v>469.75</v>
      </c>
      <c r="F3642" s="16" t="s">
        <v>8</v>
      </c>
      <c r="G3642" s="38" t="str">
        <f>HYPERLINK("http://enext.ua/PZ-M1 440/5")</f>
        <v>http://enext.ua/PZ-M1 440/5</v>
      </c>
    </row>
    <row r="3643" spans="2:7" ht="11.25" outlineLevel="5" x14ac:dyDescent="0.2">
      <c r="B3643" s="14" t="s">
        <v>6928</v>
      </c>
      <c r="C3643" s="14" t="s">
        <v>6929</v>
      </c>
      <c r="D3643" s="14">
        <v>1</v>
      </c>
      <c r="E3643" s="15">
        <v>484.91</v>
      </c>
      <c r="F3643" s="16" t="s">
        <v>8</v>
      </c>
      <c r="G3643" s="38" t="str">
        <f>HYPERLINK("http://enext.ua/PZ-M1 660/5")</f>
        <v>http://enext.ua/PZ-M1 660/5</v>
      </c>
    </row>
    <row r="3644" spans="2:7" ht="12" outlineLevel="4" x14ac:dyDescent="0.2">
      <c r="B3644" s="12"/>
      <c r="C3644" s="37" t="s">
        <v>6930</v>
      </c>
      <c r="D3644" s="12"/>
      <c r="E3644" s="13"/>
      <c r="F3644" s="13"/>
      <c r="G3644" s="12"/>
    </row>
    <row r="3645" spans="2:7" ht="11.25" outlineLevel="5" x14ac:dyDescent="0.2">
      <c r="B3645" s="14" t="s">
        <v>6931</v>
      </c>
      <c r="C3645" s="14" t="s">
        <v>6932</v>
      </c>
      <c r="D3645" s="14">
        <v>1</v>
      </c>
      <c r="E3645" s="15">
        <v>378</v>
      </c>
      <c r="F3645" s="16" t="s">
        <v>8</v>
      </c>
      <c r="G3645" s="38" t="str">
        <f>HYPERLINK("http://enext.ua/PZ-A 280/10-O")</f>
        <v>http://enext.ua/PZ-A 280/10-O</v>
      </c>
    </row>
    <row r="3646" spans="2:7" ht="11.25" outlineLevel="5" x14ac:dyDescent="0.2">
      <c r="B3646" s="14" t="s">
        <v>6933</v>
      </c>
      <c r="C3646" s="14" t="s">
        <v>6934</v>
      </c>
      <c r="D3646" s="14">
        <v>1</v>
      </c>
      <c r="E3646" s="15">
        <v>362.25</v>
      </c>
      <c r="F3646" s="16" t="s">
        <v>8</v>
      </c>
      <c r="G3646" s="38" t="str">
        <f>HYPERLINK("http://enext.ua/PZ-A 280/5-O")</f>
        <v>http://enext.ua/PZ-A 280/5-O</v>
      </c>
    </row>
    <row r="3647" spans="2:7" ht="11.25" outlineLevel="5" x14ac:dyDescent="0.2">
      <c r="B3647" s="14" t="s">
        <v>6935</v>
      </c>
      <c r="C3647" s="14" t="s">
        <v>6936</v>
      </c>
      <c r="D3647" s="14">
        <v>1</v>
      </c>
      <c r="E3647" s="15">
        <v>378</v>
      </c>
      <c r="F3647" s="16" t="s">
        <v>8</v>
      </c>
      <c r="G3647" s="38" t="str">
        <f>HYPERLINK("http://enext.ua/PZ-A 440/10-O")</f>
        <v>http://enext.ua/PZ-A 440/10-O</v>
      </c>
    </row>
    <row r="3648" spans="2:7" ht="12" outlineLevel="4" x14ac:dyDescent="0.2">
      <c r="B3648" s="12"/>
      <c r="C3648" s="37" t="s">
        <v>6937</v>
      </c>
      <c r="D3648" s="12"/>
      <c r="E3648" s="13"/>
      <c r="F3648" s="13"/>
      <c r="G3648" s="12"/>
    </row>
    <row r="3649" spans="2:7" ht="11.25" outlineLevel="5" x14ac:dyDescent="0.2">
      <c r="B3649" s="14" t="s">
        <v>6938</v>
      </c>
      <c r="C3649" s="14" t="s">
        <v>6939</v>
      </c>
      <c r="D3649" s="14">
        <v>1</v>
      </c>
      <c r="E3649" s="15">
        <v>95.15</v>
      </c>
      <c r="F3649" s="16" t="s">
        <v>8</v>
      </c>
      <c r="G3649" s="14"/>
    </row>
    <row r="3650" spans="2:7" ht="11.25" outlineLevel="5" x14ac:dyDescent="0.2">
      <c r="B3650" s="14" t="s">
        <v>6940</v>
      </c>
      <c r="C3650" s="14" t="s">
        <v>6941</v>
      </c>
      <c r="D3650" s="14">
        <v>1</v>
      </c>
      <c r="E3650" s="15">
        <v>99.62</v>
      </c>
      <c r="F3650" s="16" t="s">
        <v>8</v>
      </c>
      <c r="G3650" s="38" t="str">
        <f>HYPERLINK("http://enext.ua/D/PZ-M")</f>
        <v>http://enext.ua/D/PZ-M</v>
      </c>
    </row>
    <row r="3651" spans="2:7" ht="12" outlineLevel="3" x14ac:dyDescent="0.2">
      <c r="B3651" s="10"/>
      <c r="C3651" s="36" t="s">
        <v>6942</v>
      </c>
      <c r="D3651" s="10"/>
      <c r="E3651" s="11"/>
      <c r="F3651" s="11"/>
      <c r="G3651" s="10"/>
    </row>
    <row r="3652" spans="2:7" ht="11.25" outlineLevel="4" x14ac:dyDescent="0.2">
      <c r="B3652" s="14" t="s">
        <v>6943</v>
      </c>
      <c r="C3652" s="14" t="s">
        <v>6944</v>
      </c>
      <c r="D3652" s="14">
        <v>1</v>
      </c>
      <c r="E3652" s="15">
        <v>36.08</v>
      </c>
      <c r="F3652" s="16" t="s">
        <v>8</v>
      </c>
      <c r="G3652" s="38" t="str">
        <f>HYPERLINK("http://enext.ua/p046001")</f>
        <v>http://enext.ua/p046001</v>
      </c>
    </row>
    <row r="3653" spans="2:7" ht="11.25" outlineLevel="4" x14ac:dyDescent="0.2">
      <c r="B3653" s="14" t="s">
        <v>6945</v>
      </c>
      <c r="C3653" s="14" t="s">
        <v>6946</v>
      </c>
      <c r="D3653" s="14">
        <v>1</v>
      </c>
      <c r="E3653" s="15">
        <v>34.1</v>
      </c>
      <c r="F3653" s="16" t="s">
        <v>8</v>
      </c>
      <c r="G3653" s="38" t="str">
        <f>HYPERLINK("http://enext.ua/p046003")</f>
        <v>http://enext.ua/p046003</v>
      </c>
    </row>
    <row r="3654" spans="2:7" ht="11.25" outlineLevel="4" x14ac:dyDescent="0.2">
      <c r="B3654" s="14" t="s">
        <v>6947</v>
      </c>
      <c r="C3654" s="14" t="s">
        <v>6948</v>
      </c>
      <c r="D3654" s="14">
        <v>1</v>
      </c>
      <c r="E3654" s="15">
        <v>42.9</v>
      </c>
      <c r="F3654" s="16" t="s">
        <v>8</v>
      </c>
      <c r="G3654" s="38" t="str">
        <f>HYPERLINK("http://enext.ua/p046002")</f>
        <v>http://enext.ua/p046002</v>
      </c>
    </row>
    <row r="3655" spans="2:7" ht="11.25" outlineLevel="4" x14ac:dyDescent="0.2">
      <c r="B3655" s="14" t="s">
        <v>6949</v>
      </c>
      <c r="C3655" s="14" t="s">
        <v>6950</v>
      </c>
      <c r="D3655" s="14">
        <v>1</v>
      </c>
      <c r="E3655" s="15">
        <v>57.75</v>
      </c>
      <c r="F3655" s="16" t="s">
        <v>8</v>
      </c>
      <c r="G3655" s="38" t="str">
        <f>HYPERLINK("http://enext.ua/098")</f>
        <v>http://enext.ua/098</v>
      </c>
    </row>
    <row r="3656" spans="2:7" ht="12" outlineLevel="3" x14ac:dyDescent="0.2">
      <c r="B3656" s="10"/>
      <c r="C3656" s="36" t="s">
        <v>6951</v>
      </c>
      <c r="D3656" s="10"/>
      <c r="E3656" s="11"/>
      <c r="F3656" s="11"/>
      <c r="G3656" s="10"/>
    </row>
    <row r="3657" spans="2:7" ht="11.25" outlineLevel="4" x14ac:dyDescent="0.2">
      <c r="B3657" s="14" t="s">
        <v>6952</v>
      </c>
      <c r="C3657" s="14" t="s">
        <v>6953</v>
      </c>
      <c r="D3657" s="14">
        <v>1</v>
      </c>
      <c r="E3657" s="15">
        <v>14.4</v>
      </c>
      <c r="F3657" s="16" t="s">
        <v>8</v>
      </c>
      <c r="G3657" s="38" t="str">
        <f>HYPERLINK("http://enext.ua/у-731")</f>
        <v>http://enext.ua/у-731</v>
      </c>
    </row>
    <row r="3658" spans="2:7" ht="11.25" outlineLevel="4" x14ac:dyDescent="0.2">
      <c r="B3658" s="14" t="s">
        <v>6954</v>
      </c>
      <c r="C3658" s="14" t="s">
        <v>6955</v>
      </c>
      <c r="D3658" s="14">
        <v>1</v>
      </c>
      <c r="E3658" s="15">
        <v>14.4</v>
      </c>
      <c r="F3658" s="16" t="s">
        <v>8</v>
      </c>
      <c r="G3658" s="38" t="str">
        <f>HYPERLINK("http://enext.ua/у-733")</f>
        <v>http://enext.ua/у-733</v>
      </c>
    </row>
    <row r="3659" spans="2:7" ht="11.25" outlineLevel="4" x14ac:dyDescent="0.2">
      <c r="B3659" s="14" t="s">
        <v>6956</v>
      </c>
      <c r="C3659" s="14" t="s">
        <v>6957</v>
      </c>
      <c r="D3659" s="14">
        <v>1</v>
      </c>
      <c r="E3659" s="15">
        <v>14.4</v>
      </c>
      <c r="F3659" s="16" t="s">
        <v>8</v>
      </c>
      <c r="G3659" s="38" t="str">
        <f>HYPERLINK("http://enext.ua/у-734")</f>
        <v>http://enext.ua/у-734</v>
      </c>
    </row>
    <row r="3660" spans="2:7" ht="12" outlineLevel="3" x14ac:dyDescent="0.2">
      <c r="B3660" s="10"/>
      <c r="C3660" s="36" t="s">
        <v>6958</v>
      </c>
      <c r="D3660" s="10"/>
      <c r="E3660" s="11"/>
      <c r="F3660" s="11"/>
      <c r="G3660" s="10"/>
    </row>
    <row r="3661" spans="2:7" ht="11.25" outlineLevel="4" x14ac:dyDescent="0.2">
      <c r="B3661" s="14" t="s">
        <v>6959</v>
      </c>
      <c r="C3661" s="14" t="s">
        <v>6960</v>
      </c>
      <c r="D3661" s="14">
        <v>100</v>
      </c>
      <c r="E3661" s="15">
        <v>1.74</v>
      </c>
      <c r="F3661" s="16" t="s">
        <v>8</v>
      </c>
      <c r="G3661" s="38" t="str">
        <f>HYPERLINK("http://enext.ua/p0640001")</f>
        <v>http://enext.ua/p0640001</v>
      </c>
    </row>
    <row r="3662" spans="2:7" ht="11.25" outlineLevel="4" x14ac:dyDescent="0.2">
      <c r="B3662" s="14" t="s">
        <v>6961</v>
      </c>
      <c r="C3662" s="14" t="s">
        <v>6962</v>
      </c>
      <c r="D3662" s="14">
        <v>100</v>
      </c>
      <c r="E3662" s="15">
        <v>3.35</v>
      </c>
      <c r="F3662" s="16" t="s">
        <v>8</v>
      </c>
      <c r="G3662" s="38" t="str">
        <f>HYPERLINK("http://enext.ua/p0640002")</f>
        <v>http://enext.ua/p0640002</v>
      </c>
    </row>
    <row r="3663" spans="2:7" ht="11.25" outlineLevel="4" x14ac:dyDescent="0.2">
      <c r="B3663" s="14" t="s">
        <v>6963</v>
      </c>
      <c r="C3663" s="14" t="s">
        <v>6964</v>
      </c>
      <c r="D3663" s="14">
        <v>100</v>
      </c>
      <c r="E3663" s="15">
        <v>3.58</v>
      </c>
      <c r="F3663" s="16" t="s">
        <v>8</v>
      </c>
      <c r="G3663" s="38" t="str">
        <f>HYPERLINK("http://enext.ua/p0640003")</f>
        <v>http://enext.ua/p0640003</v>
      </c>
    </row>
    <row r="3664" spans="2:7" ht="11.25" outlineLevel="4" x14ac:dyDescent="0.2">
      <c r="B3664" s="14" t="s">
        <v>6965</v>
      </c>
      <c r="C3664" s="14" t="s">
        <v>6966</v>
      </c>
      <c r="D3664" s="14">
        <v>100</v>
      </c>
      <c r="E3664" s="15">
        <v>5.5</v>
      </c>
      <c r="F3664" s="16" t="s">
        <v>8</v>
      </c>
      <c r="G3664" s="38" t="str">
        <f>HYPERLINK("http://enext.ua/p0640004")</f>
        <v>http://enext.ua/p0640004</v>
      </c>
    </row>
    <row r="3665" spans="2:7" ht="11.25" outlineLevel="4" x14ac:dyDescent="0.2">
      <c r="B3665" s="14" t="s">
        <v>6967</v>
      </c>
      <c r="C3665" s="14" t="s">
        <v>6968</v>
      </c>
      <c r="D3665" s="14">
        <v>100</v>
      </c>
      <c r="E3665" s="15">
        <v>7.43</v>
      </c>
      <c r="F3665" s="16" t="s">
        <v>8</v>
      </c>
      <c r="G3665" s="38" t="str">
        <f>HYPERLINK("http://enext.ua/p0640005")</f>
        <v>http://enext.ua/p0640005</v>
      </c>
    </row>
    <row r="3666" spans="2:7" ht="12" outlineLevel="3" x14ac:dyDescent="0.2">
      <c r="B3666" s="10"/>
      <c r="C3666" s="36" t="s">
        <v>6969</v>
      </c>
      <c r="D3666" s="10"/>
      <c r="E3666" s="11"/>
      <c r="F3666" s="11"/>
      <c r="G3666" s="10"/>
    </row>
    <row r="3667" spans="2:7" ht="11.25" outlineLevel="4" x14ac:dyDescent="0.2">
      <c r="B3667" s="14" t="s">
        <v>6970</v>
      </c>
      <c r="C3667" s="14" t="s">
        <v>6971</v>
      </c>
      <c r="D3667" s="14">
        <v>1</v>
      </c>
      <c r="E3667" s="15">
        <v>9.08</v>
      </c>
      <c r="F3667" s="16" t="s">
        <v>8</v>
      </c>
      <c r="G3667" s="38" t="str">
        <f>HYPERLINK("http://enext.ua/p047002")</f>
        <v>http://enext.ua/p047002</v>
      </c>
    </row>
    <row r="3668" spans="2:7" ht="11.25" outlineLevel="4" x14ac:dyDescent="0.2">
      <c r="B3668" s="14" t="s">
        <v>6972</v>
      </c>
      <c r="C3668" s="14" t="s">
        <v>6973</v>
      </c>
      <c r="D3668" s="14">
        <v>100</v>
      </c>
      <c r="E3668" s="15">
        <v>14.58</v>
      </c>
      <c r="F3668" s="16" t="s">
        <v>8</v>
      </c>
      <c r="G3668" s="38" t="str">
        <f>HYPERLINK("http://enext.ua/p047003")</f>
        <v>http://enext.ua/p047003</v>
      </c>
    </row>
    <row r="3669" spans="2:7" ht="11.25" outlineLevel="4" x14ac:dyDescent="0.2">
      <c r="B3669" s="14" t="s">
        <v>6974</v>
      </c>
      <c r="C3669" s="14" t="s">
        <v>6975</v>
      </c>
      <c r="D3669" s="14">
        <v>1</v>
      </c>
      <c r="E3669" s="15">
        <v>17.05</v>
      </c>
      <c r="F3669" s="16" t="s">
        <v>8</v>
      </c>
      <c r="G3669" s="14"/>
    </row>
    <row r="3670" spans="2:7" ht="12" outlineLevel="3" x14ac:dyDescent="0.2">
      <c r="B3670" s="10"/>
      <c r="C3670" s="36" t="s">
        <v>6976</v>
      </c>
      <c r="D3670" s="10"/>
      <c r="E3670" s="11"/>
      <c r="F3670" s="11"/>
      <c r="G3670" s="10"/>
    </row>
    <row r="3671" spans="2:7" ht="11.25" outlineLevel="4" x14ac:dyDescent="0.2">
      <c r="B3671" s="14" t="s">
        <v>6977</v>
      </c>
      <c r="C3671" s="14" t="s">
        <v>6978</v>
      </c>
      <c r="D3671" s="14">
        <v>1</v>
      </c>
      <c r="E3671" s="15">
        <v>1.24</v>
      </c>
      <c r="F3671" s="16" t="s">
        <v>8</v>
      </c>
      <c r="G3671" s="38" t="str">
        <f>HYPERLINK("http://enext.ua/K-5")</f>
        <v>http://enext.ua/K-5</v>
      </c>
    </row>
    <row r="3672" spans="2:7" ht="11.25" outlineLevel="4" x14ac:dyDescent="0.2">
      <c r="B3672" s="14" t="s">
        <v>6979</v>
      </c>
      <c r="C3672" s="14" t="s">
        <v>6980</v>
      </c>
      <c r="D3672" s="14">
        <v>1</v>
      </c>
      <c r="E3672" s="15">
        <v>1.67</v>
      </c>
      <c r="F3672" s="16" t="s">
        <v>8</v>
      </c>
      <c r="G3672" s="38" t="str">
        <f>HYPERLINK("http://enext.ua/K-6")</f>
        <v>http://enext.ua/K-6</v>
      </c>
    </row>
    <row r="3673" spans="2:7" ht="12" outlineLevel="3" x14ac:dyDescent="0.2">
      <c r="B3673" s="10"/>
      <c r="C3673" s="36" t="s">
        <v>6981</v>
      </c>
      <c r="D3673" s="10"/>
      <c r="E3673" s="11"/>
      <c r="F3673" s="11"/>
      <c r="G3673" s="10"/>
    </row>
    <row r="3674" spans="2:7" ht="11.25" outlineLevel="4" x14ac:dyDescent="0.2">
      <c r="B3674" s="14" t="s">
        <v>6982</v>
      </c>
      <c r="C3674" s="14" t="s">
        <v>6983</v>
      </c>
      <c r="D3674" s="14">
        <v>1</v>
      </c>
      <c r="E3674" s="15">
        <v>705.1</v>
      </c>
      <c r="F3674" s="16" t="s">
        <v>8</v>
      </c>
      <c r="G3674" s="38" t="str">
        <f>HYPERLINK("http://enext.ua/p0470003")</f>
        <v>http://enext.ua/p0470003</v>
      </c>
    </row>
    <row r="3675" spans="2:7" ht="11.25" outlineLevel="4" x14ac:dyDescent="0.2">
      <c r="B3675" s="14" t="s">
        <v>6984</v>
      </c>
      <c r="C3675" s="14" t="s">
        <v>6985</v>
      </c>
      <c r="D3675" s="14">
        <v>1</v>
      </c>
      <c r="E3675" s="15">
        <v>933.63</v>
      </c>
      <c r="F3675" s="16" t="s">
        <v>8</v>
      </c>
      <c r="G3675" s="38" t="str">
        <f>HYPERLINK("http://enext.ua/p0470004")</f>
        <v>http://enext.ua/p0470004</v>
      </c>
    </row>
    <row r="3676" spans="2:7" ht="11.25" outlineLevel="4" x14ac:dyDescent="0.2">
      <c r="B3676" s="14" t="s">
        <v>6986</v>
      </c>
      <c r="C3676" s="14" t="s">
        <v>6987</v>
      </c>
      <c r="D3676" s="14">
        <v>1</v>
      </c>
      <c r="E3676" s="17">
        <v>1042.53</v>
      </c>
      <c r="F3676" s="16" t="s">
        <v>8</v>
      </c>
      <c r="G3676" s="38" t="str">
        <f>HYPERLINK("http://enext.ua/p0470005")</f>
        <v>http://enext.ua/p0470005</v>
      </c>
    </row>
    <row r="3677" spans="2:7" ht="11.25" outlineLevel="4" x14ac:dyDescent="0.2">
      <c r="B3677" s="14" t="s">
        <v>6988</v>
      </c>
      <c r="C3677" s="14" t="s">
        <v>6989</v>
      </c>
      <c r="D3677" s="14">
        <v>1</v>
      </c>
      <c r="E3677" s="17">
        <v>3551.63</v>
      </c>
      <c r="F3677" s="16" t="s">
        <v>8</v>
      </c>
      <c r="G3677" s="38" t="str">
        <f>HYPERLINK("http://enext.ua/p0470006")</f>
        <v>http://enext.ua/p0470006</v>
      </c>
    </row>
    <row r="3678" spans="2:7" ht="11.25" outlineLevel="4" x14ac:dyDescent="0.2">
      <c r="B3678" s="14" t="s">
        <v>6990</v>
      </c>
      <c r="C3678" s="14" t="s">
        <v>6991</v>
      </c>
      <c r="D3678" s="14">
        <v>1</v>
      </c>
      <c r="E3678" s="17">
        <v>4340.6000000000004</v>
      </c>
      <c r="F3678" s="16" t="s">
        <v>8</v>
      </c>
      <c r="G3678" s="38" t="str">
        <f>HYPERLINK("http://enext.ua/p0470009")</f>
        <v>http://enext.ua/p0470009</v>
      </c>
    </row>
    <row r="3679" spans="2:7" ht="11.25" outlineLevel="4" x14ac:dyDescent="0.2">
      <c r="B3679" s="14" t="s">
        <v>6992</v>
      </c>
      <c r="C3679" s="14" t="s">
        <v>6993</v>
      </c>
      <c r="D3679" s="14">
        <v>1</v>
      </c>
      <c r="E3679" s="17">
        <v>1004.03</v>
      </c>
      <c r="F3679" s="16" t="s">
        <v>8</v>
      </c>
      <c r="G3679" s="38" t="str">
        <f>HYPERLINK("http://enext.ua/p0470007")</f>
        <v>http://enext.ua/p0470007</v>
      </c>
    </row>
    <row r="3680" spans="2:7" ht="11.25" outlineLevel="4" x14ac:dyDescent="0.2">
      <c r="B3680" s="14" t="s">
        <v>6994</v>
      </c>
      <c r="C3680" s="14" t="s">
        <v>6995</v>
      </c>
      <c r="D3680" s="14">
        <v>1</v>
      </c>
      <c r="E3680" s="17">
        <v>5049.47</v>
      </c>
      <c r="F3680" s="16" t="s">
        <v>8</v>
      </c>
      <c r="G3680" s="38" t="str">
        <f>HYPERLINK("http://enext.ua/p0470002")</f>
        <v>http://enext.ua/p0470002</v>
      </c>
    </row>
    <row r="3681" spans="2:7" ht="11.25" outlineLevel="4" x14ac:dyDescent="0.2">
      <c r="B3681" s="14" t="s">
        <v>6996</v>
      </c>
      <c r="C3681" s="14" t="s">
        <v>6997</v>
      </c>
      <c r="D3681" s="14">
        <v>1</v>
      </c>
      <c r="E3681" s="15">
        <v>243.1</v>
      </c>
      <c r="F3681" s="16" t="s">
        <v>1111</v>
      </c>
      <c r="G3681" s="38" t="str">
        <f>HYPERLINK("http://enext.ua/p0470011")</f>
        <v>http://enext.ua/p0470011</v>
      </c>
    </row>
    <row r="3682" spans="2:7" ht="11.25" outlineLevel="4" x14ac:dyDescent="0.2">
      <c r="B3682" s="14" t="s">
        <v>6998</v>
      </c>
      <c r="C3682" s="14" t="s">
        <v>6999</v>
      </c>
      <c r="D3682" s="14">
        <v>1</v>
      </c>
      <c r="E3682" s="17">
        <v>3256</v>
      </c>
      <c r="F3682" s="16" t="s">
        <v>8</v>
      </c>
      <c r="G3682" s="38" t="str">
        <f>HYPERLINK("http://enext.ua/p0470010")</f>
        <v>http://enext.ua/p0470010</v>
      </c>
    </row>
    <row r="3683" spans="2:7" ht="12" outlineLevel="2" x14ac:dyDescent="0.2">
      <c r="B3683" s="8"/>
      <c r="C3683" s="35" t="s">
        <v>7000</v>
      </c>
      <c r="D3683" s="8"/>
      <c r="E3683" s="9"/>
      <c r="F3683" s="9"/>
      <c r="G3683" s="8"/>
    </row>
    <row r="3684" spans="2:7" ht="12" outlineLevel="3" x14ac:dyDescent="0.2">
      <c r="B3684" s="10"/>
      <c r="C3684" s="36" t="s">
        <v>7001</v>
      </c>
      <c r="D3684" s="10"/>
      <c r="E3684" s="11"/>
      <c r="F3684" s="11"/>
      <c r="G3684" s="10"/>
    </row>
    <row r="3685" spans="2:7" ht="11.25" outlineLevel="4" x14ac:dyDescent="0.2">
      <c r="B3685" s="14" t="s">
        <v>7002</v>
      </c>
      <c r="C3685" s="14" t="s">
        <v>7003</v>
      </c>
      <c r="D3685" s="14">
        <v>100</v>
      </c>
      <c r="E3685" s="15">
        <v>5.89</v>
      </c>
      <c r="F3685" s="16" t="s">
        <v>4214</v>
      </c>
      <c r="G3685" s="38" t="str">
        <f>HYPERLINK("http://enext.ua/s033001")</f>
        <v>http://enext.ua/s033001</v>
      </c>
    </row>
    <row r="3686" spans="2:7" ht="11.25" outlineLevel="4" x14ac:dyDescent="0.2">
      <c r="B3686" s="14" t="s">
        <v>7004</v>
      </c>
      <c r="C3686" s="14" t="s">
        <v>7005</v>
      </c>
      <c r="D3686" s="14">
        <v>100</v>
      </c>
      <c r="E3686" s="15">
        <v>6.24</v>
      </c>
      <c r="F3686" s="16" t="s">
        <v>4214</v>
      </c>
      <c r="G3686" s="38" t="str">
        <f>HYPERLINK("http://enext.ua/s033002")</f>
        <v>http://enext.ua/s033002</v>
      </c>
    </row>
    <row r="3687" spans="2:7" ht="11.25" outlineLevel="4" x14ac:dyDescent="0.2">
      <c r="B3687" s="14" t="s">
        <v>7006</v>
      </c>
      <c r="C3687" s="14" t="s">
        <v>7007</v>
      </c>
      <c r="D3687" s="14">
        <v>50</v>
      </c>
      <c r="E3687" s="15">
        <v>7.33</v>
      </c>
      <c r="F3687" s="16" t="s">
        <v>4214</v>
      </c>
      <c r="G3687" s="38" t="str">
        <f>HYPERLINK("http://enext.ua/s033003")</f>
        <v>http://enext.ua/s033003</v>
      </c>
    </row>
    <row r="3688" spans="2:7" ht="11.25" outlineLevel="4" x14ac:dyDescent="0.2">
      <c r="B3688" s="14" t="s">
        <v>7008</v>
      </c>
      <c r="C3688" s="14" t="s">
        <v>7009</v>
      </c>
      <c r="D3688" s="14">
        <v>60</v>
      </c>
      <c r="E3688" s="15">
        <v>7.74</v>
      </c>
      <c r="F3688" s="16" t="s">
        <v>4214</v>
      </c>
      <c r="G3688" s="38" t="str">
        <f>HYPERLINK("http://enext.ua/s033004")</f>
        <v>http://enext.ua/s033004</v>
      </c>
    </row>
    <row r="3689" spans="2:7" ht="11.25" outlineLevel="4" x14ac:dyDescent="0.2">
      <c r="B3689" s="14" t="s">
        <v>7010</v>
      </c>
      <c r="C3689" s="14" t="s">
        <v>7011</v>
      </c>
      <c r="D3689" s="14">
        <v>50</v>
      </c>
      <c r="E3689" s="15">
        <v>10.75</v>
      </c>
      <c r="F3689" s="16" t="s">
        <v>4214</v>
      </c>
      <c r="G3689" s="38" t="str">
        <f>HYPERLINK("http://enext.ua/s033005")</f>
        <v>http://enext.ua/s033005</v>
      </c>
    </row>
    <row r="3690" spans="2:7" ht="11.25" outlineLevel="4" x14ac:dyDescent="0.2">
      <c r="B3690" s="14" t="s">
        <v>7012</v>
      </c>
      <c r="C3690" s="14" t="s">
        <v>7013</v>
      </c>
      <c r="D3690" s="14">
        <v>50</v>
      </c>
      <c r="E3690" s="15">
        <v>13.11</v>
      </c>
      <c r="F3690" s="16" t="s">
        <v>4214</v>
      </c>
      <c r="G3690" s="38" t="str">
        <f>HYPERLINK("http://enext.ua/s033016")</f>
        <v>http://enext.ua/s033016</v>
      </c>
    </row>
    <row r="3691" spans="2:7" ht="11.25" outlineLevel="4" x14ac:dyDescent="0.2">
      <c r="B3691" s="14" t="s">
        <v>7014</v>
      </c>
      <c r="C3691" s="14" t="s">
        <v>7015</v>
      </c>
      <c r="D3691" s="14">
        <v>40</v>
      </c>
      <c r="E3691" s="15">
        <v>16.25</v>
      </c>
      <c r="F3691" s="16" t="s">
        <v>4214</v>
      </c>
      <c r="G3691" s="38" t="str">
        <f>HYPERLINK("http://enext.ua/s033006")</f>
        <v>http://enext.ua/s033006</v>
      </c>
    </row>
    <row r="3692" spans="2:7" ht="11.25" outlineLevel="4" x14ac:dyDescent="0.2">
      <c r="B3692" s="14" t="s">
        <v>7016</v>
      </c>
      <c r="C3692" s="14" t="s">
        <v>7017</v>
      </c>
      <c r="D3692" s="14">
        <v>20</v>
      </c>
      <c r="E3692" s="15">
        <v>17.809999999999999</v>
      </c>
      <c r="F3692" s="16" t="s">
        <v>4214</v>
      </c>
      <c r="G3692" s="38" t="str">
        <f>HYPERLINK("http://enext.ua/s033007")</f>
        <v>http://enext.ua/s033007</v>
      </c>
    </row>
    <row r="3693" spans="2:7" ht="11.25" outlineLevel="4" x14ac:dyDescent="0.2">
      <c r="B3693" s="14" t="s">
        <v>7018</v>
      </c>
      <c r="C3693" s="14" t="s">
        <v>7019</v>
      </c>
      <c r="D3693" s="14">
        <v>8</v>
      </c>
      <c r="E3693" s="15">
        <v>26.2</v>
      </c>
      <c r="F3693" s="16" t="s">
        <v>4214</v>
      </c>
      <c r="G3693" s="38" t="str">
        <f>HYPERLINK("http://enext.ua/s033008")</f>
        <v>http://enext.ua/s033008</v>
      </c>
    </row>
    <row r="3694" spans="2:7" ht="11.25" outlineLevel="4" x14ac:dyDescent="0.2">
      <c r="B3694" s="14" t="s">
        <v>7020</v>
      </c>
      <c r="C3694" s="14" t="s">
        <v>7021</v>
      </c>
      <c r="D3694" s="14">
        <v>16</v>
      </c>
      <c r="E3694" s="15">
        <v>36.799999999999997</v>
      </c>
      <c r="F3694" s="16" t="s">
        <v>4214</v>
      </c>
      <c r="G3694" s="38" t="str">
        <f>HYPERLINK("http://enext.ua/s033009")</f>
        <v>http://enext.ua/s033009</v>
      </c>
    </row>
    <row r="3695" spans="2:7" ht="11.25" outlineLevel="4" x14ac:dyDescent="0.2">
      <c r="B3695" s="14" t="s">
        <v>7022</v>
      </c>
      <c r="C3695" s="14" t="s">
        <v>7023</v>
      </c>
      <c r="D3695" s="14">
        <v>12</v>
      </c>
      <c r="E3695" s="15">
        <v>42.84</v>
      </c>
      <c r="F3695" s="16" t="s">
        <v>4214</v>
      </c>
      <c r="G3695" s="38" t="str">
        <f>HYPERLINK("http://enext.ua/s033018")</f>
        <v>http://enext.ua/s033018</v>
      </c>
    </row>
    <row r="3696" spans="2:7" ht="11.25" outlineLevel="4" x14ac:dyDescent="0.2">
      <c r="B3696" s="14" t="s">
        <v>7024</v>
      </c>
      <c r="C3696" s="14" t="s">
        <v>7025</v>
      </c>
      <c r="D3696" s="14">
        <v>8</v>
      </c>
      <c r="E3696" s="15">
        <v>53.9</v>
      </c>
      <c r="F3696" s="16" t="s">
        <v>4214</v>
      </c>
      <c r="G3696" s="38" t="str">
        <f>HYPERLINK("http://enext.ua/s033010")</f>
        <v>http://enext.ua/s033010</v>
      </c>
    </row>
    <row r="3697" spans="2:7" ht="11.25" outlineLevel="4" x14ac:dyDescent="0.2">
      <c r="B3697" s="14" t="s">
        <v>7026</v>
      </c>
      <c r="C3697" s="14" t="s">
        <v>7027</v>
      </c>
      <c r="D3697" s="14">
        <v>4</v>
      </c>
      <c r="E3697" s="15">
        <v>53.9</v>
      </c>
      <c r="F3697" s="16" t="s">
        <v>4214</v>
      </c>
      <c r="G3697" s="38" t="str">
        <f>HYPERLINK("http://enext.ua/s033011")</f>
        <v>http://enext.ua/s033011</v>
      </c>
    </row>
    <row r="3698" spans="2:7" ht="11.25" outlineLevel="4" x14ac:dyDescent="0.2">
      <c r="B3698" s="14" t="s">
        <v>7028</v>
      </c>
      <c r="C3698" s="14" t="s">
        <v>7029</v>
      </c>
      <c r="D3698" s="14">
        <v>4</v>
      </c>
      <c r="E3698" s="15">
        <v>66.36</v>
      </c>
      <c r="F3698" s="16" t="s">
        <v>4214</v>
      </c>
      <c r="G3698" s="38" t="str">
        <f>HYPERLINK("http://enext.ua/s033012")</f>
        <v>http://enext.ua/s033012</v>
      </c>
    </row>
    <row r="3699" spans="2:7" ht="12" outlineLevel="3" x14ac:dyDescent="0.2">
      <c r="B3699" s="10"/>
      <c r="C3699" s="36" t="s">
        <v>7030</v>
      </c>
      <c r="D3699" s="10"/>
      <c r="E3699" s="11"/>
      <c r="F3699" s="11"/>
      <c r="G3699" s="10"/>
    </row>
    <row r="3700" spans="2:7" ht="11.25" outlineLevel="4" x14ac:dyDescent="0.2">
      <c r="B3700" s="14" t="s">
        <v>7031</v>
      </c>
      <c r="C3700" s="14" t="s">
        <v>7032</v>
      </c>
      <c r="D3700" s="14">
        <v>1</v>
      </c>
      <c r="E3700" s="15">
        <v>28.84</v>
      </c>
      <c r="F3700" s="16" t="s">
        <v>4214</v>
      </c>
      <c r="G3700" s="38" t="str">
        <f>HYPERLINK("http://enext.ua/s13033002")</f>
        <v>http://enext.ua/s13033002</v>
      </c>
    </row>
    <row r="3701" spans="2:7" ht="11.25" outlineLevel="4" x14ac:dyDescent="0.2">
      <c r="B3701" s="14" t="s">
        <v>7033</v>
      </c>
      <c r="C3701" s="14" t="s">
        <v>7034</v>
      </c>
      <c r="D3701" s="14">
        <v>1</v>
      </c>
      <c r="E3701" s="15">
        <v>36.76</v>
      </c>
      <c r="F3701" s="16" t="s">
        <v>4214</v>
      </c>
      <c r="G3701" s="38" t="str">
        <f>HYPERLINK("http://enext.ua/s13033004")</f>
        <v>http://enext.ua/s13033004</v>
      </c>
    </row>
    <row r="3702" spans="2:7" ht="11.25" outlineLevel="4" x14ac:dyDescent="0.2">
      <c r="B3702" s="14" t="s">
        <v>7035</v>
      </c>
      <c r="C3702" s="14" t="s">
        <v>7036</v>
      </c>
      <c r="D3702" s="14">
        <v>1</v>
      </c>
      <c r="E3702" s="15">
        <v>37.840000000000003</v>
      </c>
      <c r="F3702" s="16" t="s">
        <v>4214</v>
      </c>
      <c r="G3702" s="38" t="str">
        <f>HYPERLINK("http://enext.ua/s13033003")</f>
        <v>http://enext.ua/s13033003</v>
      </c>
    </row>
    <row r="3703" spans="2:7" ht="11.25" outlineLevel="4" x14ac:dyDescent="0.2">
      <c r="B3703" s="14" t="s">
        <v>7037</v>
      </c>
      <c r="C3703" s="14" t="s">
        <v>7038</v>
      </c>
      <c r="D3703" s="14">
        <v>1</v>
      </c>
      <c r="E3703" s="15">
        <v>41.89</v>
      </c>
      <c r="F3703" s="16" t="s">
        <v>4214</v>
      </c>
      <c r="G3703" s="38" t="str">
        <f>HYPERLINK("http://enext.ua/s13033005")</f>
        <v>http://enext.ua/s13033005</v>
      </c>
    </row>
    <row r="3704" spans="2:7" ht="22.5" outlineLevel="4" x14ac:dyDescent="0.2">
      <c r="B3704" s="14" t="s">
        <v>7039</v>
      </c>
      <c r="C3704" s="14" t="s">
        <v>7040</v>
      </c>
      <c r="D3704" s="14">
        <v>1</v>
      </c>
      <c r="E3704" s="15">
        <v>46.35</v>
      </c>
      <c r="F3704" s="16" t="s">
        <v>4214</v>
      </c>
      <c r="G3704" s="14"/>
    </row>
    <row r="3705" spans="2:7" ht="22.5" outlineLevel="4" x14ac:dyDescent="0.2">
      <c r="B3705" s="14" t="s">
        <v>7041</v>
      </c>
      <c r="C3705" s="14" t="s">
        <v>7042</v>
      </c>
      <c r="D3705" s="14">
        <v>1</v>
      </c>
      <c r="E3705" s="15">
        <v>58.76</v>
      </c>
      <c r="F3705" s="16" t="s">
        <v>4214</v>
      </c>
      <c r="G3705" s="14"/>
    </row>
    <row r="3706" spans="2:7" ht="22.5" outlineLevel="4" x14ac:dyDescent="0.2">
      <c r="B3706" s="14" t="s">
        <v>7043</v>
      </c>
      <c r="C3706" s="14" t="s">
        <v>7044</v>
      </c>
      <c r="D3706" s="14">
        <v>1</v>
      </c>
      <c r="E3706" s="15">
        <v>82.42</v>
      </c>
      <c r="F3706" s="16" t="s">
        <v>4214</v>
      </c>
      <c r="G3706" s="14"/>
    </row>
    <row r="3707" spans="2:7" ht="11.25" outlineLevel="4" x14ac:dyDescent="0.2">
      <c r="B3707" s="14" t="s">
        <v>7045</v>
      </c>
      <c r="C3707" s="14" t="s">
        <v>7046</v>
      </c>
      <c r="D3707" s="14">
        <v>1</v>
      </c>
      <c r="E3707" s="15">
        <v>116.23</v>
      </c>
      <c r="F3707" s="16" t="s">
        <v>4214</v>
      </c>
      <c r="G3707" s="38" t="str">
        <f>HYPERLINK("http://enext.ua/s13033013")</f>
        <v>http://enext.ua/s13033013</v>
      </c>
    </row>
    <row r="3708" spans="2:7" ht="11.25" outlineLevel="4" x14ac:dyDescent="0.2">
      <c r="B3708" s="14" t="s">
        <v>7047</v>
      </c>
      <c r="C3708" s="14" t="s">
        <v>7048</v>
      </c>
      <c r="D3708" s="14">
        <v>1</v>
      </c>
      <c r="E3708" s="15">
        <v>55.5</v>
      </c>
      <c r="F3708" s="16" t="s">
        <v>4214</v>
      </c>
      <c r="G3708" s="38" t="str">
        <f>HYPERLINK("http://enext.ua/s13033006")</f>
        <v>http://enext.ua/s13033006</v>
      </c>
    </row>
    <row r="3709" spans="2:7" ht="11.25" outlineLevel="4" x14ac:dyDescent="0.2">
      <c r="B3709" s="14" t="s">
        <v>7049</v>
      </c>
      <c r="C3709" s="14" t="s">
        <v>7050</v>
      </c>
      <c r="D3709" s="14">
        <v>1</v>
      </c>
      <c r="E3709" s="15">
        <v>68.290000000000006</v>
      </c>
      <c r="F3709" s="16" t="s">
        <v>4214</v>
      </c>
      <c r="G3709" s="38" t="str">
        <f>HYPERLINK("http://enext.ua/s13033007")</f>
        <v>http://enext.ua/s13033007</v>
      </c>
    </row>
    <row r="3710" spans="2:7" ht="22.5" outlineLevel="4" x14ac:dyDescent="0.2">
      <c r="B3710" s="14" t="s">
        <v>7051</v>
      </c>
      <c r="C3710" s="14" t="s">
        <v>7052</v>
      </c>
      <c r="D3710" s="14">
        <v>1</v>
      </c>
      <c r="E3710" s="15">
        <v>75.25</v>
      </c>
      <c r="F3710" s="16" t="s">
        <v>4214</v>
      </c>
      <c r="G3710" s="14"/>
    </row>
    <row r="3711" spans="2:7" ht="11.25" outlineLevel="4" x14ac:dyDescent="0.2">
      <c r="B3711" s="14" t="s">
        <v>7053</v>
      </c>
      <c r="C3711" s="14" t="s">
        <v>7054</v>
      </c>
      <c r="D3711" s="14">
        <v>1</v>
      </c>
      <c r="E3711" s="15">
        <v>76.709999999999994</v>
      </c>
      <c r="F3711" s="16" t="s">
        <v>4214</v>
      </c>
      <c r="G3711" s="38" t="str">
        <f>HYPERLINK("http://enext.ua/s13033008")</f>
        <v>http://enext.ua/s13033008</v>
      </c>
    </row>
    <row r="3712" spans="2:7" ht="22.5" outlineLevel="4" x14ac:dyDescent="0.2">
      <c r="B3712" s="14" t="s">
        <v>7055</v>
      </c>
      <c r="C3712" s="14" t="s">
        <v>7056</v>
      </c>
      <c r="D3712" s="14">
        <v>1</v>
      </c>
      <c r="E3712" s="15">
        <v>91.73</v>
      </c>
      <c r="F3712" s="16" t="s">
        <v>4214</v>
      </c>
      <c r="G3712" s="14"/>
    </row>
    <row r="3713" spans="2:7" ht="22.5" outlineLevel="4" x14ac:dyDescent="0.2">
      <c r="B3713" s="14" t="s">
        <v>7057</v>
      </c>
      <c r="C3713" s="14" t="s">
        <v>7058</v>
      </c>
      <c r="D3713" s="14">
        <v>1</v>
      </c>
      <c r="E3713" s="15">
        <v>127.18</v>
      </c>
      <c r="F3713" s="16" t="s">
        <v>4214</v>
      </c>
      <c r="G3713" s="14"/>
    </row>
    <row r="3714" spans="2:7" ht="11.25" outlineLevel="4" x14ac:dyDescent="0.2">
      <c r="B3714" s="14" t="s">
        <v>7059</v>
      </c>
      <c r="C3714" s="14" t="s">
        <v>7060</v>
      </c>
      <c r="D3714" s="14">
        <v>8</v>
      </c>
      <c r="E3714" s="15">
        <v>134.24</v>
      </c>
      <c r="F3714" s="16" t="s">
        <v>4214</v>
      </c>
      <c r="G3714" s="38" t="str">
        <f>HYPERLINK("http://enext.ua/s13033001")</f>
        <v>http://enext.ua/s13033001</v>
      </c>
    </row>
    <row r="3715" spans="2:7" ht="11.25" outlineLevel="4" x14ac:dyDescent="0.2">
      <c r="B3715" s="14" t="s">
        <v>7061</v>
      </c>
      <c r="C3715" s="14" t="s">
        <v>7062</v>
      </c>
      <c r="D3715" s="14">
        <v>1</v>
      </c>
      <c r="E3715" s="15">
        <v>95.02</v>
      </c>
      <c r="F3715" s="16" t="s">
        <v>4214</v>
      </c>
      <c r="G3715" s="38" t="str">
        <f>HYPERLINK("http://enext.ua/s13033009")</f>
        <v>http://enext.ua/s13033009</v>
      </c>
    </row>
    <row r="3716" spans="2:7" ht="22.5" outlineLevel="4" x14ac:dyDescent="0.2">
      <c r="B3716" s="14" t="s">
        <v>7063</v>
      </c>
      <c r="C3716" s="14" t="s">
        <v>7064</v>
      </c>
      <c r="D3716" s="14">
        <v>1</v>
      </c>
      <c r="E3716" s="15">
        <v>104.16</v>
      </c>
      <c r="F3716" s="16" t="s">
        <v>4214</v>
      </c>
      <c r="G3716" s="14"/>
    </row>
    <row r="3717" spans="2:7" ht="11.25" outlineLevel="4" x14ac:dyDescent="0.2">
      <c r="B3717" s="14" t="s">
        <v>7065</v>
      </c>
      <c r="C3717" s="14" t="s">
        <v>7066</v>
      </c>
      <c r="D3717" s="14">
        <v>1</v>
      </c>
      <c r="E3717" s="15">
        <v>99.37</v>
      </c>
      <c r="F3717" s="16" t="s">
        <v>4214</v>
      </c>
      <c r="G3717" s="38" t="str">
        <f>HYPERLINK("http://enext.ua/s13033010")</f>
        <v>http://enext.ua/s13033010</v>
      </c>
    </row>
    <row r="3718" spans="2:7" ht="22.5" outlineLevel="4" x14ac:dyDescent="0.2">
      <c r="B3718" s="14" t="s">
        <v>7067</v>
      </c>
      <c r="C3718" s="14" t="s">
        <v>7068</v>
      </c>
      <c r="D3718" s="14">
        <v>1</v>
      </c>
      <c r="E3718" s="15">
        <v>125</v>
      </c>
      <c r="F3718" s="16" t="s">
        <v>4214</v>
      </c>
      <c r="G3718" s="14"/>
    </row>
    <row r="3719" spans="2:7" ht="11.25" outlineLevel="4" x14ac:dyDescent="0.2">
      <c r="B3719" s="14" t="s">
        <v>7069</v>
      </c>
      <c r="C3719" s="14" t="s">
        <v>7070</v>
      </c>
      <c r="D3719" s="14">
        <v>1</v>
      </c>
      <c r="E3719" s="15">
        <v>123.2</v>
      </c>
      <c r="F3719" s="16" t="s">
        <v>4214</v>
      </c>
      <c r="G3719" s="38" t="str">
        <f>HYPERLINK("http://enext.ua/s13033015")</f>
        <v>http://enext.ua/s13033015</v>
      </c>
    </row>
    <row r="3720" spans="2:7" ht="11.25" outlineLevel="4" x14ac:dyDescent="0.2">
      <c r="B3720" s="14" t="s">
        <v>7071</v>
      </c>
      <c r="C3720" s="14" t="s">
        <v>7072</v>
      </c>
      <c r="D3720" s="14">
        <v>1</v>
      </c>
      <c r="E3720" s="15">
        <v>129.01</v>
      </c>
      <c r="F3720" s="16" t="s">
        <v>4214</v>
      </c>
      <c r="G3720" s="38" t="str">
        <f>HYPERLINK("http://enext.ua/s13033011")</f>
        <v>http://enext.ua/s13033011</v>
      </c>
    </row>
    <row r="3721" spans="2:7" ht="22.5" outlineLevel="4" x14ac:dyDescent="0.2">
      <c r="B3721" s="14" t="s">
        <v>7073</v>
      </c>
      <c r="C3721" s="14" t="s">
        <v>7074</v>
      </c>
      <c r="D3721" s="14">
        <v>1</v>
      </c>
      <c r="E3721" s="15">
        <v>138.97999999999999</v>
      </c>
      <c r="F3721" s="16" t="s">
        <v>4214</v>
      </c>
      <c r="G3721" s="14"/>
    </row>
    <row r="3722" spans="2:7" ht="11.25" outlineLevel="4" x14ac:dyDescent="0.2">
      <c r="B3722" s="14" t="s">
        <v>7075</v>
      </c>
      <c r="C3722" s="14" t="s">
        <v>7076</v>
      </c>
      <c r="D3722" s="14">
        <v>1</v>
      </c>
      <c r="E3722" s="15">
        <v>183.35</v>
      </c>
      <c r="F3722" s="16" t="s">
        <v>4214</v>
      </c>
      <c r="G3722" s="38" t="str">
        <f>HYPERLINK("http://enext.ua/s13033016")</f>
        <v>http://enext.ua/s13033016</v>
      </c>
    </row>
    <row r="3723" spans="2:7" ht="11.25" outlineLevel="4" x14ac:dyDescent="0.2">
      <c r="B3723" s="14" t="s">
        <v>7077</v>
      </c>
      <c r="C3723" s="14" t="s">
        <v>7078</v>
      </c>
      <c r="D3723" s="14">
        <v>1</v>
      </c>
      <c r="E3723" s="15">
        <v>170.91</v>
      </c>
      <c r="F3723" s="16" t="s">
        <v>4214</v>
      </c>
      <c r="G3723" s="38" t="str">
        <f>HYPERLINK("http://enext.ua/s13033012")</f>
        <v>http://enext.ua/s13033012</v>
      </c>
    </row>
    <row r="3724" spans="2:7" ht="22.5" outlineLevel="4" x14ac:dyDescent="0.2">
      <c r="B3724" s="14" t="s">
        <v>7079</v>
      </c>
      <c r="C3724" s="14" t="s">
        <v>7080</v>
      </c>
      <c r="D3724" s="14">
        <v>1</v>
      </c>
      <c r="E3724" s="15">
        <v>178.16</v>
      </c>
      <c r="F3724" s="16" t="s">
        <v>4214</v>
      </c>
      <c r="G3724" s="14"/>
    </row>
    <row r="3725" spans="2:7" ht="22.5" outlineLevel="4" x14ac:dyDescent="0.2">
      <c r="B3725" s="14" t="s">
        <v>7081</v>
      </c>
      <c r="C3725" s="14" t="s">
        <v>7082</v>
      </c>
      <c r="D3725" s="14">
        <v>1</v>
      </c>
      <c r="E3725" s="15">
        <v>257.13</v>
      </c>
      <c r="F3725" s="16" t="s">
        <v>4214</v>
      </c>
      <c r="G3725" s="14"/>
    </row>
    <row r="3726" spans="2:7" ht="12" outlineLevel="3" x14ac:dyDescent="0.2">
      <c r="B3726" s="10"/>
      <c r="C3726" s="36" t="s">
        <v>7083</v>
      </c>
      <c r="D3726" s="10"/>
      <c r="E3726" s="11"/>
      <c r="F3726" s="11"/>
      <c r="G3726" s="10"/>
    </row>
    <row r="3727" spans="2:7" ht="11.25" outlineLevel="4" x14ac:dyDescent="0.2">
      <c r="B3727" s="14" t="s">
        <v>7084</v>
      </c>
      <c r="C3727" s="14" t="s">
        <v>7085</v>
      </c>
      <c r="D3727" s="14">
        <v>40</v>
      </c>
      <c r="E3727" s="15">
        <v>17.149999999999999</v>
      </c>
      <c r="F3727" s="16" t="s">
        <v>4214</v>
      </c>
      <c r="G3727" s="38" t="str">
        <f>HYPERLINK("http://enext.ua/s14033005")</f>
        <v>http://enext.ua/s14033005</v>
      </c>
    </row>
    <row r="3728" spans="2:7" ht="22.5" outlineLevel="4" x14ac:dyDescent="0.2">
      <c r="B3728" s="14" t="s">
        <v>7086</v>
      </c>
      <c r="C3728" s="14" t="s">
        <v>7087</v>
      </c>
      <c r="D3728" s="14">
        <v>4</v>
      </c>
      <c r="E3728" s="15">
        <v>117.83</v>
      </c>
      <c r="F3728" s="16" t="s">
        <v>4214</v>
      </c>
      <c r="G3728" s="38" t="str">
        <f>HYPERLINK("http://enext.ua/s14033003")</f>
        <v>http://enext.ua/s14033003</v>
      </c>
    </row>
    <row r="3729" spans="2:7" ht="12" outlineLevel="3" x14ac:dyDescent="0.2">
      <c r="B3729" s="10"/>
      <c r="C3729" s="36" t="s">
        <v>7088</v>
      </c>
      <c r="D3729" s="10"/>
      <c r="E3729" s="11"/>
      <c r="F3729" s="11"/>
      <c r="G3729" s="10"/>
    </row>
    <row r="3730" spans="2:7" ht="12" outlineLevel="4" x14ac:dyDescent="0.2">
      <c r="B3730" s="12"/>
      <c r="C3730" s="37" t="s">
        <v>7089</v>
      </c>
      <c r="D3730" s="12"/>
      <c r="E3730" s="13"/>
      <c r="F3730" s="13"/>
      <c r="G3730" s="12"/>
    </row>
    <row r="3731" spans="2:7" ht="11.25" outlineLevel="5" x14ac:dyDescent="0.2">
      <c r="B3731" s="14" t="s">
        <v>7090</v>
      </c>
      <c r="C3731" s="14" t="s">
        <v>7091</v>
      </c>
      <c r="D3731" s="14">
        <v>50</v>
      </c>
      <c r="E3731" s="15">
        <v>10.18</v>
      </c>
      <c r="F3731" s="16" t="s">
        <v>4214</v>
      </c>
      <c r="G3731" s="14"/>
    </row>
    <row r="3732" spans="2:7" ht="11.25" outlineLevel="5" x14ac:dyDescent="0.2">
      <c r="B3732" s="14" t="s">
        <v>7092</v>
      </c>
      <c r="C3732" s="14" t="s">
        <v>7093</v>
      </c>
      <c r="D3732" s="14">
        <v>30</v>
      </c>
      <c r="E3732" s="15">
        <v>19.760000000000002</v>
      </c>
      <c r="F3732" s="16" t="s">
        <v>4214</v>
      </c>
      <c r="G3732" s="14"/>
    </row>
    <row r="3733" spans="2:7" ht="12" outlineLevel="4" x14ac:dyDescent="0.2">
      <c r="B3733" s="12"/>
      <c r="C3733" s="37" t="s">
        <v>7094</v>
      </c>
      <c r="D3733" s="12"/>
      <c r="E3733" s="13"/>
      <c r="F3733" s="13"/>
      <c r="G3733" s="12"/>
    </row>
    <row r="3734" spans="2:7" ht="22.5" outlineLevel="5" x14ac:dyDescent="0.2">
      <c r="B3734" s="14" t="s">
        <v>7095</v>
      </c>
      <c r="C3734" s="14" t="s">
        <v>7096</v>
      </c>
      <c r="D3734" s="14">
        <v>1</v>
      </c>
      <c r="E3734" s="15">
        <v>2.62</v>
      </c>
      <c r="F3734" s="16" t="s">
        <v>8</v>
      </c>
      <c r="G3734" s="14"/>
    </row>
    <row r="3735" spans="2:7" ht="22.5" outlineLevel="5" x14ac:dyDescent="0.2">
      <c r="B3735" s="14" t="s">
        <v>7097</v>
      </c>
      <c r="C3735" s="14" t="s">
        <v>7098</v>
      </c>
      <c r="D3735" s="14">
        <v>1</v>
      </c>
      <c r="E3735" s="15">
        <v>4.6500000000000004</v>
      </c>
      <c r="F3735" s="16" t="s">
        <v>8</v>
      </c>
      <c r="G3735" s="14"/>
    </row>
    <row r="3736" spans="2:7" ht="11.25" outlineLevel="5" x14ac:dyDescent="0.2">
      <c r="B3736" s="14" t="s">
        <v>7099</v>
      </c>
      <c r="C3736" s="14" t="s">
        <v>7100</v>
      </c>
      <c r="D3736" s="14">
        <v>1</v>
      </c>
      <c r="E3736" s="15">
        <v>1.46</v>
      </c>
      <c r="F3736" s="16" t="s">
        <v>8</v>
      </c>
      <c r="G3736" s="14"/>
    </row>
    <row r="3737" spans="2:7" ht="11.25" outlineLevel="5" x14ac:dyDescent="0.2">
      <c r="B3737" s="14" t="s">
        <v>7101</v>
      </c>
      <c r="C3737" s="14" t="s">
        <v>7102</v>
      </c>
      <c r="D3737" s="14">
        <v>1</v>
      </c>
      <c r="E3737" s="15">
        <v>2.62</v>
      </c>
      <c r="F3737" s="16" t="s">
        <v>8</v>
      </c>
      <c r="G3737" s="14"/>
    </row>
    <row r="3738" spans="2:7" ht="22.5" outlineLevel="5" x14ac:dyDescent="0.2">
      <c r="B3738" s="14" t="s">
        <v>7103</v>
      </c>
      <c r="C3738" s="14" t="s">
        <v>7104</v>
      </c>
      <c r="D3738" s="14">
        <v>1</v>
      </c>
      <c r="E3738" s="15">
        <v>1.46</v>
      </c>
      <c r="F3738" s="16" t="s">
        <v>8</v>
      </c>
      <c r="G3738" s="14"/>
    </row>
    <row r="3739" spans="2:7" ht="22.5" outlineLevel="5" x14ac:dyDescent="0.2">
      <c r="B3739" s="14" t="s">
        <v>7105</v>
      </c>
      <c r="C3739" s="14" t="s">
        <v>7106</v>
      </c>
      <c r="D3739" s="14">
        <v>1</v>
      </c>
      <c r="E3739" s="15">
        <v>3.78</v>
      </c>
      <c r="F3739" s="16" t="s">
        <v>8</v>
      </c>
      <c r="G3739" s="14"/>
    </row>
    <row r="3740" spans="2:7" ht="11.25" outlineLevel="5" x14ac:dyDescent="0.2">
      <c r="B3740" s="14" t="s">
        <v>7107</v>
      </c>
      <c r="C3740" s="14" t="s">
        <v>7108</v>
      </c>
      <c r="D3740" s="14">
        <v>1</v>
      </c>
      <c r="E3740" s="15">
        <v>2.62</v>
      </c>
      <c r="F3740" s="16" t="s">
        <v>8</v>
      </c>
      <c r="G3740" s="14"/>
    </row>
    <row r="3741" spans="2:7" ht="11.25" outlineLevel="5" x14ac:dyDescent="0.2">
      <c r="B3741" s="14" t="s">
        <v>7109</v>
      </c>
      <c r="C3741" s="14" t="s">
        <v>7110</v>
      </c>
      <c r="D3741" s="14">
        <v>1</v>
      </c>
      <c r="E3741" s="15">
        <v>4.6500000000000004</v>
      </c>
      <c r="F3741" s="16" t="s">
        <v>8</v>
      </c>
      <c r="G3741" s="14"/>
    </row>
    <row r="3742" spans="2:7" ht="11.25" outlineLevel="5" x14ac:dyDescent="0.2">
      <c r="B3742" s="14" t="s">
        <v>7111</v>
      </c>
      <c r="C3742" s="14" t="s">
        <v>7112</v>
      </c>
      <c r="D3742" s="14">
        <v>1</v>
      </c>
      <c r="E3742" s="15">
        <v>1.46</v>
      </c>
      <c r="F3742" s="16" t="s">
        <v>8</v>
      </c>
      <c r="G3742" s="14"/>
    </row>
    <row r="3743" spans="2:7" ht="11.25" outlineLevel="5" x14ac:dyDescent="0.2">
      <c r="B3743" s="14" t="s">
        <v>7113</v>
      </c>
      <c r="C3743" s="14" t="s">
        <v>7114</v>
      </c>
      <c r="D3743" s="14">
        <v>1</v>
      </c>
      <c r="E3743" s="15">
        <v>2.62</v>
      </c>
      <c r="F3743" s="16" t="s">
        <v>8</v>
      </c>
      <c r="G3743" s="14"/>
    </row>
    <row r="3744" spans="2:7" ht="12" outlineLevel="3" x14ac:dyDescent="0.2">
      <c r="B3744" s="10"/>
      <c r="C3744" s="36" t="s">
        <v>7115</v>
      </c>
      <c r="D3744" s="10"/>
      <c r="E3744" s="11"/>
      <c r="F3744" s="11"/>
      <c r="G3744" s="10"/>
    </row>
    <row r="3745" spans="2:7" ht="11.25" outlineLevel="4" x14ac:dyDescent="0.2">
      <c r="B3745" s="14" t="s">
        <v>7116</v>
      </c>
      <c r="C3745" s="14" t="s">
        <v>7117</v>
      </c>
      <c r="D3745" s="14">
        <v>1</v>
      </c>
      <c r="E3745" s="15">
        <v>56.67</v>
      </c>
      <c r="F3745" s="16" t="s">
        <v>4214</v>
      </c>
      <c r="G3745" s="38" t="str">
        <f>HYPERLINK("http://enext.ua/s1033004")</f>
        <v>http://enext.ua/s1033004</v>
      </c>
    </row>
    <row r="3746" spans="2:7" ht="11.25" outlineLevel="4" x14ac:dyDescent="0.2">
      <c r="B3746" s="14" t="s">
        <v>7118</v>
      </c>
      <c r="C3746" s="14" t="s">
        <v>7119</v>
      </c>
      <c r="D3746" s="14">
        <v>1</v>
      </c>
      <c r="E3746" s="15">
        <v>95.6</v>
      </c>
      <c r="F3746" s="16" t="s">
        <v>4214</v>
      </c>
      <c r="G3746" s="38" t="str">
        <f>HYPERLINK("http://enext.ua/s1033005")</f>
        <v>http://enext.ua/s1033005</v>
      </c>
    </row>
    <row r="3747" spans="2:7" ht="11.25" outlineLevel="4" x14ac:dyDescent="0.2">
      <c r="B3747" s="14" t="s">
        <v>7120</v>
      </c>
      <c r="C3747" s="14" t="s">
        <v>7121</v>
      </c>
      <c r="D3747" s="14">
        <v>1</v>
      </c>
      <c r="E3747" s="15">
        <v>126.4</v>
      </c>
      <c r="F3747" s="16" t="s">
        <v>4214</v>
      </c>
      <c r="G3747" s="38" t="str">
        <f>HYPERLINK("http://enext.ua/s1033006")</f>
        <v>http://enext.ua/s1033006</v>
      </c>
    </row>
    <row r="3748" spans="2:7" ht="12" outlineLevel="3" x14ac:dyDescent="0.2">
      <c r="B3748" s="10"/>
      <c r="C3748" s="36" t="s">
        <v>7122</v>
      </c>
      <c r="D3748" s="10"/>
      <c r="E3748" s="11"/>
      <c r="F3748" s="11"/>
      <c r="G3748" s="10"/>
    </row>
    <row r="3749" spans="2:7" ht="12" outlineLevel="4" x14ac:dyDescent="0.2">
      <c r="B3749" s="12"/>
      <c r="C3749" s="37" t="s">
        <v>7123</v>
      </c>
      <c r="D3749" s="12"/>
      <c r="E3749" s="13"/>
      <c r="F3749" s="13"/>
      <c r="G3749" s="12"/>
    </row>
    <row r="3750" spans="2:7" ht="11.25" outlineLevel="5" x14ac:dyDescent="0.2">
      <c r="B3750" s="14" t="s">
        <v>7124</v>
      </c>
      <c r="C3750" s="14" t="s">
        <v>7125</v>
      </c>
      <c r="D3750" s="14">
        <v>1</v>
      </c>
      <c r="E3750" s="15">
        <v>35.450000000000003</v>
      </c>
      <c r="F3750" s="16" t="s">
        <v>8</v>
      </c>
      <c r="G3750" s="38" t="str">
        <f>HYPERLINK("http://enext.ua/s2033010")</f>
        <v>http://enext.ua/s2033010</v>
      </c>
    </row>
    <row r="3751" spans="2:7" ht="11.25" outlineLevel="5" x14ac:dyDescent="0.2">
      <c r="B3751" s="14" t="s">
        <v>7126</v>
      </c>
      <c r="C3751" s="14" t="s">
        <v>7127</v>
      </c>
      <c r="D3751" s="14">
        <v>1</v>
      </c>
      <c r="E3751" s="15">
        <v>48.53</v>
      </c>
      <c r="F3751" s="16" t="s">
        <v>8</v>
      </c>
      <c r="G3751" s="38" t="str">
        <f>HYPERLINK("http://enext.ua/s2033011")</f>
        <v>http://enext.ua/s2033011</v>
      </c>
    </row>
    <row r="3752" spans="2:7" ht="11.25" outlineLevel="5" x14ac:dyDescent="0.2">
      <c r="B3752" s="14" t="s">
        <v>7128</v>
      </c>
      <c r="C3752" s="14" t="s">
        <v>7129</v>
      </c>
      <c r="D3752" s="14">
        <v>1</v>
      </c>
      <c r="E3752" s="15">
        <v>2.04</v>
      </c>
      <c r="F3752" s="16" t="s">
        <v>8</v>
      </c>
      <c r="G3752" s="38" t="str">
        <f>HYPERLINK("http://enext.ua/s2033001")</f>
        <v>http://enext.ua/s2033001</v>
      </c>
    </row>
    <row r="3753" spans="2:7" ht="11.25" outlineLevel="5" x14ac:dyDescent="0.2">
      <c r="B3753" s="14" t="s">
        <v>7130</v>
      </c>
      <c r="C3753" s="14" t="s">
        <v>7131</v>
      </c>
      <c r="D3753" s="14">
        <v>1</v>
      </c>
      <c r="E3753" s="15">
        <v>3.2</v>
      </c>
      <c r="F3753" s="16" t="s">
        <v>8</v>
      </c>
      <c r="G3753" s="38" t="str">
        <f>HYPERLINK("http://enext.ua/s2033003")</f>
        <v>http://enext.ua/s2033003</v>
      </c>
    </row>
    <row r="3754" spans="2:7" ht="11.25" outlineLevel="5" x14ac:dyDescent="0.2">
      <c r="B3754" s="14" t="s">
        <v>7132</v>
      </c>
      <c r="C3754" s="14" t="s">
        <v>7133</v>
      </c>
      <c r="D3754" s="14">
        <v>1</v>
      </c>
      <c r="E3754" s="15">
        <v>3.2</v>
      </c>
      <c r="F3754" s="16" t="s">
        <v>8</v>
      </c>
      <c r="G3754" s="38" t="str">
        <f>HYPERLINK("http://enext.ua/s2033012")</f>
        <v>http://enext.ua/s2033012</v>
      </c>
    </row>
    <row r="3755" spans="2:7" ht="11.25" outlineLevel="5" x14ac:dyDescent="0.2">
      <c r="B3755" s="14" t="s">
        <v>7134</v>
      </c>
      <c r="C3755" s="14" t="s">
        <v>7135</v>
      </c>
      <c r="D3755" s="14">
        <v>1</v>
      </c>
      <c r="E3755" s="15">
        <v>5.23</v>
      </c>
      <c r="F3755" s="16" t="s">
        <v>8</v>
      </c>
      <c r="G3755" s="38" t="str">
        <f>HYPERLINK("http://enext.ua/s2033015")</f>
        <v>http://enext.ua/s2033015</v>
      </c>
    </row>
    <row r="3756" spans="2:7" ht="11.25" outlineLevel="5" x14ac:dyDescent="0.2">
      <c r="B3756" s="14" t="s">
        <v>7136</v>
      </c>
      <c r="C3756" s="14" t="s">
        <v>7137</v>
      </c>
      <c r="D3756" s="14">
        <v>1</v>
      </c>
      <c r="E3756" s="15">
        <v>5.81</v>
      </c>
      <c r="F3756" s="16" t="s">
        <v>8</v>
      </c>
      <c r="G3756" s="38" t="str">
        <f>HYPERLINK("http://enext.ua/s2033013")</f>
        <v>http://enext.ua/s2033013</v>
      </c>
    </row>
    <row r="3757" spans="2:7" ht="11.25" outlineLevel="5" x14ac:dyDescent="0.2">
      <c r="B3757" s="14" t="s">
        <v>7138</v>
      </c>
      <c r="C3757" s="14" t="s">
        <v>7139</v>
      </c>
      <c r="D3757" s="14">
        <v>1</v>
      </c>
      <c r="E3757" s="15">
        <v>5.81</v>
      </c>
      <c r="F3757" s="16" t="s">
        <v>8</v>
      </c>
      <c r="G3757" s="38" t="str">
        <f>HYPERLINK("http://enext.ua/s2033005")</f>
        <v>http://enext.ua/s2033005</v>
      </c>
    </row>
    <row r="3758" spans="2:7" ht="11.25" outlineLevel="5" x14ac:dyDescent="0.2">
      <c r="B3758" s="14" t="s">
        <v>7140</v>
      </c>
      <c r="C3758" s="14" t="s">
        <v>7141</v>
      </c>
      <c r="D3758" s="14">
        <v>1</v>
      </c>
      <c r="E3758" s="15">
        <v>16.850000000000001</v>
      </c>
      <c r="F3758" s="16" t="s">
        <v>8</v>
      </c>
      <c r="G3758" s="38" t="str">
        <f>HYPERLINK("http://enext.ua/s2033007")</f>
        <v>http://enext.ua/s2033007</v>
      </c>
    </row>
    <row r="3759" spans="2:7" ht="11.25" outlineLevel="5" x14ac:dyDescent="0.2">
      <c r="B3759" s="14" t="s">
        <v>7142</v>
      </c>
      <c r="C3759" s="14" t="s">
        <v>7143</v>
      </c>
      <c r="D3759" s="14">
        <v>1</v>
      </c>
      <c r="E3759" s="15">
        <v>21.22</v>
      </c>
      <c r="F3759" s="16" t="s">
        <v>8</v>
      </c>
      <c r="G3759" s="38" t="str">
        <f>HYPERLINK("http://enext.ua/s2033014")</f>
        <v>http://enext.ua/s2033014</v>
      </c>
    </row>
    <row r="3760" spans="2:7" ht="11.25" outlineLevel="5" x14ac:dyDescent="0.2">
      <c r="B3760" s="14" t="s">
        <v>7144</v>
      </c>
      <c r="C3760" s="14" t="s">
        <v>7145</v>
      </c>
      <c r="D3760" s="14">
        <v>1</v>
      </c>
      <c r="E3760" s="15">
        <v>22.66</v>
      </c>
      <c r="F3760" s="16" t="s">
        <v>8</v>
      </c>
      <c r="G3760" s="38" t="str">
        <f>HYPERLINK("http://enext.ua/s2033008")</f>
        <v>http://enext.ua/s2033008</v>
      </c>
    </row>
    <row r="3761" spans="2:7" ht="11.25" outlineLevel="5" x14ac:dyDescent="0.2">
      <c r="B3761" s="14" t="s">
        <v>7146</v>
      </c>
      <c r="C3761" s="14" t="s">
        <v>7147</v>
      </c>
      <c r="D3761" s="14">
        <v>1</v>
      </c>
      <c r="E3761" s="15">
        <v>30.22</v>
      </c>
      <c r="F3761" s="16" t="s">
        <v>8</v>
      </c>
      <c r="G3761" s="38" t="str">
        <f>HYPERLINK("http://enext.ua/s2033016")</f>
        <v>http://enext.ua/s2033016</v>
      </c>
    </row>
    <row r="3762" spans="2:7" ht="11.25" outlineLevel="5" x14ac:dyDescent="0.2">
      <c r="B3762" s="14" t="s">
        <v>7148</v>
      </c>
      <c r="C3762" s="14" t="s">
        <v>7149</v>
      </c>
      <c r="D3762" s="14">
        <v>1</v>
      </c>
      <c r="E3762" s="15">
        <v>36.03</v>
      </c>
      <c r="F3762" s="16" t="s">
        <v>8</v>
      </c>
      <c r="G3762" s="38" t="str">
        <f>HYPERLINK("http://enext.ua/s2033009")</f>
        <v>http://enext.ua/s2033009</v>
      </c>
    </row>
    <row r="3763" spans="2:7" ht="12" outlineLevel="4" x14ac:dyDescent="0.2">
      <c r="B3763" s="12"/>
      <c r="C3763" s="37" t="s">
        <v>7150</v>
      </c>
      <c r="D3763" s="12"/>
      <c r="E3763" s="13"/>
      <c r="F3763" s="13"/>
      <c r="G3763" s="12"/>
    </row>
    <row r="3764" spans="2:7" ht="11.25" outlineLevel="5" x14ac:dyDescent="0.2">
      <c r="B3764" s="14" t="s">
        <v>7151</v>
      </c>
      <c r="C3764" s="14" t="s">
        <v>7152</v>
      </c>
      <c r="D3764" s="14">
        <v>1</v>
      </c>
      <c r="E3764" s="15">
        <v>21.8</v>
      </c>
      <c r="F3764" s="16" t="s">
        <v>8</v>
      </c>
      <c r="G3764" s="38" t="str">
        <f>HYPERLINK("http://enext.ua/s4033010")</f>
        <v>http://enext.ua/s4033010</v>
      </c>
    </row>
    <row r="3765" spans="2:7" ht="11.25" outlineLevel="5" x14ac:dyDescent="0.2">
      <c r="B3765" s="14" t="s">
        <v>7153</v>
      </c>
      <c r="C3765" s="14" t="s">
        <v>7154</v>
      </c>
      <c r="D3765" s="14">
        <v>1</v>
      </c>
      <c r="E3765" s="15">
        <v>31.68</v>
      </c>
      <c r="F3765" s="16" t="s">
        <v>8</v>
      </c>
      <c r="G3765" s="38" t="str">
        <f>HYPERLINK("http://enext.ua/s4033011")</f>
        <v>http://enext.ua/s4033011</v>
      </c>
    </row>
    <row r="3766" spans="2:7" ht="11.25" outlineLevel="5" x14ac:dyDescent="0.2">
      <c r="B3766" s="14" t="s">
        <v>7155</v>
      </c>
      <c r="C3766" s="14" t="s">
        <v>7156</v>
      </c>
      <c r="D3766" s="14">
        <v>1</v>
      </c>
      <c r="E3766" s="15">
        <v>1.1599999999999999</v>
      </c>
      <c r="F3766" s="16" t="s">
        <v>8</v>
      </c>
      <c r="G3766" s="38" t="str">
        <f>HYPERLINK("http://enext.ua/s4033001")</f>
        <v>http://enext.ua/s4033001</v>
      </c>
    </row>
    <row r="3767" spans="2:7" ht="11.25" outlineLevel="5" x14ac:dyDescent="0.2">
      <c r="B3767" s="14" t="s">
        <v>7157</v>
      </c>
      <c r="C3767" s="14" t="s">
        <v>7158</v>
      </c>
      <c r="D3767" s="14">
        <v>1</v>
      </c>
      <c r="E3767" s="15">
        <v>2.62</v>
      </c>
      <c r="F3767" s="16" t="s">
        <v>8</v>
      </c>
      <c r="G3767" s="38" t="str">
        <f>HYPERLINK("http://enext.ua/s4033003")</f>
        <v>http://enext.ua/s4033003</v>
      </c>
    </row>
    <row r="3768" spans="2:7" ht="11.25" outlineLevel="5" x14ac:dyDescent="0.2">
      <c r="B3768" s="14" t="s">
        <v>7159</v>
      </c>
      <c r="C3768" s="14" t="s">
        <v>7160</v>
      </c>
      <c r="D3768" s="14">
        <v>1</v>
      </c>
      <c r="E3768" s="15">
        <v>2.62</v>
      </c>
      <c r="F3768" s="16" t="s">
        <v>8</v>
      </c>
      <c r="G3768" s="38" t="str">
        <f>HYPERLINK("http://enext.ua/s4033012")</f>
        <v>http://enext.ua/s4033012</v>
      </c>
    </row>
    <row r="3769" spans="2:7" ht="11.25" outlineLevel="5" x14ac:dyDescent="0.2">
      <c r="B3769" s="14" t="s">
        <v>7161</v>
      </c>
      <c r="C3769" s="14" t="s">
        <v>7162</v>
      </c>
      <c r="D3769" s="14">
        <v>1</v>
      </c>
      <c r="E3769" s="15">
        <v>3.78</v>
      </c>
      <c r="F3769" s="16" t="s">
        <v>8</v>
      </c>
      <c r="G3769" s="38" t="str">
        <f>HYPERLINK("http://enext.ua/s4033015")</f>
        <v>http://enext.ua/s4033015</v>
      </c>
    </row>
    <row r="3770" spans="2:7" ht="11.25" outlineLevel="5" x14ac:dyDescent="0.2">
      <c r="B3770" s="14" t="s">
        <v>7163</v>
      </c>
      <c r="C3770" s="14" t="s">
        <v>7164</v>
      </c>
      <c r="D3770" s="14">
        <v>1</v>
      </c>
      <c r="E3770" s="15">
        <v>3.78</v>
      </c>
      <c r="F3770" s="16" t="s">
        <v>8</v>
      </c>
      <c r="G3770" s="38" t="str">
        <f>HYPERLINK("http://enext.ua/s4033013")</f>
        <v>http://enext.ua/s4033013</v>
      </c>
    </row>
    <row r="3771" spans="2:7" ht="11.25" outlineLevel="5" x14ac:dyDescent="0.2">
      <c r="B3771" s="14" t="s">
        <v>7165</v>
      </c>
      <c r="C3771" s="14" t="s">
        <v>7166</v>
      </c>
      <c r="D3771" s="14">
        <v>1</v>
      </c>
      <c r="E3771" s="15">
        <v>4.3600000000000003</v>
      </c>
      <c r="F3771" s="16" t="s">
        <v>8</v>
      </c>
      <c r="G3771" s="38" t="str">
        <f>HYPERLINK("http://enext.ua/s4033005")</f>
        <v>http://enext.ua/s4033005</v>
      </c>
    </row>
    <row r="3772" spans="2:7" ht="11.25" outlineLevel="5" x14ac:dyDescent="0.2">
      <c r="B3772" s="14" t="s">
        <v>7167</v>
      </c>
      <c r="C3772" s="14" t="s">
        <v>7168</v>
      </c>
      <c r="D3772" s="14">
        <v>1</v>
      </c>
      <c r="E3772" s="15">
        <v>5.81</v>
      </c>
      <c r="F3772" s="16" t="s">
        <v>8</v>
      </c>
      <c r="G3772" s="38" t="str">
        <f>HYPERLINK("http://enext.ua/s4033006")</f>
        <v>http://enext.ua/s4033006</v>
      </c>
    </row>
    <row r="3773" spans="2:7" ht="11.25" outlineLevel="5" x14ac:dyDescent="0.2">
      <c r="B3773" s="14" t="s">
        <v>7169</v>
      </c>
      <c r="C3773" s="14" t="s">
        <v>7170</v>
      </c>
      <c r="D3773" s="14">
        <v>1</v>
      </c>
      <c r="E3773" s="15">
        <v>12.2</v>
      </c>
      <c r="F3773" s="16" t="s">
        <v>8</v>
      </c>
      <c r="G3773" s="38" t="str">
        <f>HYPERLINK("http://enext.ua/s4033007")</f>
        <v>http://enext.ua/s4033007</v>
      </c>
    </row>
    <row r="3774" spans="2:7" ht="11.25" outlineLevel="5" x14ac:dyDescent="0.2">
      <c r="B3774" s="14" t="s">
        <v>7171</v>
      </c>
      <c r="C3774" s="14" t="s">
        <v>7172</v>
      </c>
      <c r="D3774" s="14">
        <v>1</v>
      </c>
      <c r="E3774" s="15">
        <v>14.82</v>
      </c>
      <c r="F3774" s="16" t="s">
        <v>8</v>
      </c>
      <c r="G3774" s="38" t="str">
        <f>HYPERLINK("http://enext.ua/s4033014")</f>
        <v>http://enext.ua/s4033014</v>
      </c>
    </row>
    <row r="3775" spans="2:7" ht="11.25" outlineLevel="5" x14ac:dyDescent="0.2">
      <c r="B3775" s="14" t="s">
        <v>7173</v>
      </c>
      <c r="C3775" s="14" t="s">
        <v>7174</v>
      </c>
      <c r="D3775" s="14">
        <v>1</v>
      </c>
      <c r="E3775" s="15">
        <v>16.27</v>
      </c>
      <c r="F3775" s="16" t="s">
        <v>8</v>
      </c>
      <c r="G3775" s="38" t="str">
        <f>HYPERLINK("http://enext.ua/s4033008")</f>
        <v>http://enext.ua/s4033008</v>
      </c>
    </row>
    <row r="3776" spans="2:7" ht="11.25" outlineLevel="5" x14ac:dyDescent="0.2">
      <c r="B3776" s="14" t="s">
        <v>7175</v>
      </c>
      <c r="C3776" s="14" t="s">
        <v>7176</v>
      </c>
      <c r="D3776" s="14">
        <v>1</v>
      </c>
      <c r="E3776" s="15">
        <v>29.64</v>
      </c>
      <c r="F3776" s="16" t="s">
        <v>8</v>
      </c>
      <c r="G3776" s="38" t="str">
        <f>HYPERLINK("http://enext.ua/s4033016")</f>
        <v>http://enext.ua/s4033016</v>
      </c>
    </row>
    <row r="3777" spans="2:7" ht="11.25" outlineLevel="5" x14ac:dyDescent="0.2">
      <c r="B3777" s="14" t="s">
        <v>7177</v>
      </c>
      <c r="C3777" s="14" t="s">
        <v>7178</v>
      </c>
      <c r="D3777" s="14">
        <v>1</v>
      </c>
      <c r="E3777" s="15">
        <v>24.41</v>
      </c>
      <c r="F3777" s="16" t="s">
        <v>8</v>
      </c>
      <c r="G3777" s="38" t="str">
        <f>HYPERLINK("http://enext.ua/s4033009")</f>
        <v>http://enext.ua/s4033009</v>
      </c>
    </row>
    <row r="3778" spans="2:7" ht="12" outlineLevel="4" x14ac:dyDescent="0.2">
      <c r="B3778" s="12"/>
      <c r="C3778" s="37" t="s">
        <v>7179</v>
      </c>
      <c r="D3778" s="12"/>
      <c r="E3778" s="13"/>
      <c r="F3778" s="13"/>
      <c r="G3778" s="12"/>
    </row>
    <row r="3779" spans="2:7" ht="11.25" outlineLevel="5" x14ac:dyDescent="0.2">
      <c r="B3779" s="14" t="s">
        <v>7180</v>
      </c>
      <c r="C3779" s="14" t="s">
        <v>7181</v>
      </c>
      <c r="D3779" s="14">
        <v>1</v>
      </c>
      <c r="E3779" s="15">
        <v>43.3</v>
      </c>
      <c r="F3779" s="16" t="s">
        <v>8</v>
      </c>
      <c r="G3779" s="38" t="str">
        <f>HYPERLINK("http://enext.ua/s3033010")</f>
        <v>http://enext.ua/s3033010</v>
      </c>
    </row>
    <row r="3780" spans="2:7" ht="11.25" outlineLevel="5" x14ac:dyDescent="0.2">
      <c r="B3780" s="14" t="s">
        <v>7182</v>
      </c>
      <c r="C3780" s="14" t="s">
        <v>7183</v>
      </c>
      <c r="D3780" s="14">
        <v>1</v>
      </c>
      <c r="E3780" s="15">
        <v>55.5</v>
      </c>
      <c r="F3780" s="16" t="s">
        <v>8</v>
      </c>
      <c r="G3780" s="38" t="str">
        <f>HYPERLINK("http://enext.ua/s3033011")</f>
        <v>http://enext.ua/s3033011</v>
      </c>
    </row>
    <row r="3781" spans="2:7" ht="11.25" outlineLevel="5" x14ac:dyDescent="0.2">
      <c r="B3781" s="14" t="s">
        <v>7184</v>
      </c>
      <c r="C3781" s="14" t="s">
        <v>7185</v>
      </c>
      <c r="D3781" s="14">
        <v>1</v>
      </c>
      <c r="E3781" s="15">
        <v>2.62</v>
      </c>
      <c r="F3781" s="16" t="s">
        <v>8</v>
      </c>
      <c r="G3781" s="38" t="str">
        <f>HYPERLINK("http://enext.ua/s3033002")</f>
        <v>http://enext.ua/s3033002</v>
      </c>
    </row>
    <row r="3782" spans="2:7" ht="11.25" outlineLevel="5" x14ac:dyDescent="0.2">
      <c r="B3782" s="14" t="s">
        <v>7186</v>
      </c>
      <c r="C3782" s="14" t="s">
        <v>7187</v>
      </c>
      <c r="D3782" s="14">
        <v>1</v>
      </c>
      <c r="E3782" s="15">
        <v>4.3600000000000003</v>
      </c>
      <c r="F3782" s="16" t="s">
        <v>8</v>
      </c>
      <c r="G3782" s="38" t="str">
        <f>HYPERLINK("http://enext.ua/s3033003")</f>
        <v>http://enext.ua/s3033003</v>
      </c>
    </row>
    <row r="3783" spans="2:7" ht="11.25" outlineLevel="5" x14ac:dyDescent="0.2">
      <c r="B3783" s="14" t="s">
        <v>7188</v>
      </c>
      <c r="C3783" s="14" t="s">
        <v>7189</v>
      </c>
      <c r="D3783" s="14">
        <v>1</v>
      </c>
      <c r="E3783" s="15">
        <v>4.3600000000000003</v>
      </c>
      <c r="F3783" s="16" t="s">
        <v>8</v>
      </c>
      <c r="G3783" s="38" t="str">
        <f>HYPERLINK("http://enext.ua/s3033012")</f>
        <v>http://enext.ua/s3033012</v>
      </c>
    </row>
    <row r="3784" spans="2:7" ht="11.25" outlineLevel="5" x14ac:dyDescent="0.2">
      <c r="B3784" s="14" t="s">
        <v>7190</v>
      </c>
      <c r="C3784" s="14" t="s">
        <v>7191</v>
      </c>
      <c r="D3784" s="14">
        <v>1</v>
      </c>
      <c r="E3784" s="15">
        <v>4.3600000000000003</v>
      </c>
      <c r="F3784" s="16" t="s">
        <v>8</v>
      </c>
      <c r="G3784" s="38" t="str">
        <f>HYPERLINK("http://enext.ua/s3033004")</f>
        <v>http://enext.ua/s3033004</v>
      </c>
    </row>
    <row r="3785" spans="2:7" ht="11.25" outlineLevel="5" x14ac:dyDescent="0.2">
      <c r="B3785" s="14" t="s">
        <v>7192</v>
      </c>
      <c r="C3785" s="14" t="s">
        <v>7193</v>
      </c>
      <c r="D3785" s="14">
        <v>1</v>
      </c>
      <c r="E3785" s="15">
        <v>5.23</v>
      </c>
      <c r="F3785" s="16" t="s">
        <v>8</v>
      </c>
      <c r="G3785" s="38" t="str">
        <f>HYPERLINK("http://enext.ua/s3033015")</f>
        <v>http://enext.ua/s3033015</v>
      </c>
    </row>
    <row r="3786" spans="2:7" ht="11.25" outlineLevel="5" x14ac:dyDescent="0.2">
      <c r="B3786" s="14" t="s">
        <v>7194</v>
      </c>
      <c r="C3786" s="14" t="s">
        <v>7195</v>
      </c>
      <c r="D3786" s="14">
        <v>1</v>
      </c>
      <c r="E3786" s="15">
        <v>6.39</v>
      </c>
      <c r="F3786" s="16" t="s">
        <v>8</v>
      </c>
      <c r="G3786" s="38" t="str">
        <f>HYPERLINK("http://enext.ua/s3033013")</f>
        <v>http://enext.ua/s3033013</v>
      </c>
    </row>
    <row r="3787" spans="2:7" ht="11.25" outlineLevel="5" x14ac:dyDescent="0.2">
      <c r="B3787" s="14" t="s">
        <v>7196</v>
      </c>
      <c r="C3787" s="14" t="s">
        <v>7197</v>
      </c>
      <c r="D3787" s="14">
        <v>1</v>
      </c>
      <c r="E3787" s="15">
        <v>6.39</v>
      </c>
      <c r="F3787" s="16" t="s">
        <v>8</v>
      </c>
      <c r="G3787" s="38" t="str">
        <f>HYPERLINK("http://enext.ua/s3033005")</f>
        <v>http://enext.ua/s3033005</v>
      </c>
    </row>
    <row r="3788" spans="2:7" ht="11.25" outlineLevel="5" x14ac:dyDescent="0.2">
      <c r="B3788" s="14" t="s">
        <v>7198</v>
      </c>
      <c r="C3788" s="14" t="s">
        <v>7199</v>
      </c>
      <c r="D3788" s="14">
        <v>1</v>
      </c>
      <c r="E3788" s="15">
        <v>14.82</v>
      </c>
      <c r="F3788" s="16" t="s">
        <v>8</v>
      </c>
      <c r="G3788" s="38" t="str">
        <f>HYPERLINK("http://enext.ua/s3033007")</f>
        <v>http://enext.ua/s3033007</v>
      </c>
    </row>
    <row r="3789" spans="2:7" ht="11.25" outlineLevel="5" x14ac:dyDescent="0.2">
      <c r="B3789" s="14" t="s">
        <v>7200</v>
      </c>
      <c r="C3789" s="14" t="s">
        <v>7201</v>
      </c>
      <c r="D3789" s="14">
        <v>1</v>
      </c>
      <c r="E3789" s="15">
        <v>23.83</v>
      </c>
      <c r="F3789" s="16" t="s">
        <v>8</v>
      </c>
      <c r="G3789" s="38" t="str">
        <f>HYPERLINK("http://enext.ua/s3033014")</f>
        <v>http://enext.ua/s3033014</v>
      </c>
    </row>
    <row r="3790" spans="2:7" ht="11.25" outlineLevel="5" x14ac:dyDescent="0.2">
      <c r="B3790" s="14" t="s">
        <v>7202</v>
      </c>
      <c r="C3790" s="14" t="s">
        <v>7203</v>
      </c>
      <c r="D3790" s="14">
        <v>1</v>
      </c>
      <c r="E3790" s="15">
        <v>24.41</v>
      </c>
      <c r="F3790" s="16" t="s">
        <v>8</v>
      </c>
      <c r="G3790" s="38" t="str">
        <f>HYPERLINK("http://enext.ua/s3033008")</f>
        <v>http://enext.ua/s3033008</v>
      </c>
    </row>
    <row r="3791" spans="2:7" ht="11.25" outlineLevel="5" x14ac:dyDescent="0.2">
      <c r="B3791" s="14" t="s">
        <v>7204</v>
      </c>
      <c r="C3791" s="14" t="s">
        <v>7205</v>
      </c>
      <c r="D3791" s="14">
        <v>1</v>
      </c>
      <c r="E3791" s="15">
        <v>30.22</v>
      </c>
      <c r="F3791" s="16" t="s">
        <v>8</v>
      </c>
      <c r="G3791" s="38" t="str">
        <f>HYPERLINK("http://enext.ua/s3033016")</f>
        <v>http://enext.ua/s3033016</v>
      </c>
    </row>
    <row r="3792" spans="2:7" ht="11.25" outlineLevel="5" x14ac:dyDescent="0.2">
      <c r="B3792" s="14" t="s">
        <v>7206</v>
      </c>
      <c r="C3792" s="14" t="s">
        <v>7207</v>
      </c>
      <c r="D3792" s="14">
        <v>1</v>
      </c>
      <c r="E3792" s="15">
        <v>45.04</v>
      </c>
      <c r="F3792" s="16" t="s">
        <v>8</v>
      </c>
      <c r="G3792" s="38" t="str">
        <f>HYPERLINK("http://enext.ua/s3033009")</f>
        <v>http://enext.ua/s3033009</v>
      </c>
    </row>
    <row r="3793" spans="2:7" ht="12" outlineLevel="4" x14ac:dyDescent="0.2">
      <c r="B3793" s="12"/>
      <c r="C3793" s="37" t="s">
        <v>7208</v>
      </c>
      <c r="D3793" s="12"/>
      <c r="E3793" s="13"/>
      <c r="F3793" s="13"/>
      <c r="G3793" s="12"/>
    </row>
    <row r="3794" spans="2:7" ht="11.25" outlineLevel="5" x14ac:dyDescent="0.2">
      <c r="B3794" s="14" t="s">
        <v>7209</v>
      </c>
      <c r="C3794" s="14" t="s">
        <v>7210</v>
      </c>
      <c r="D3794" s="14">
        <v>1</v>
      </c>
      <c r="E3794" s="15">
        <v>52.88</v>
      </c>
      <c r="F3794" s="16" t="s">
        <v>8</v>
      </c>
      <c r="G3794" s="38" t="str">
        <f>HYPERLINK("http://enext.ua/s5033010")</f>
        <v>http://enext.ua/s5033010</v>
      </c>
    </row>
    <row r="3795" spans="2:7" ht="11.25" outlineLevel="5" x14ac:dyDescent="0.2">
      <c r="B3795" s="14" t="s">
        <v>7211</v>
      </c>
      <c r="C3795" s="14" t="s">
        <v>7212</v>
      </c>
      <c r="D3795" s="14">
        <v>1</v>
      </c>
      <c r="E3795" s="15">
        <v>56.95</v>
      </c>
      <c r="F3795" s="16" t="s">
        <v>8</v>
      </c>
      <c r="G3795" s="38" t="str">
        <f>HYPERLINK("http://enext.ua/s5033011")</f>
        <v>http://enext.ua/s5033011</v>
      </c>
    </row>
    <row r="3796" spans="2:7" ht="11.25" outlineLevel="5" x14ac:dyDescent="0.2">
      <c r="B3796" s="14" t="s">
        <v>7213</v>
      </c>
      <c r="C3796" s="14" t="s">
        <v>7214</v>
      </c>
      <c r="D3796" s="14">
        <v>1</v>
      </c>
      <c r="E3796" s="15">
        <v>2.62</v>
      </c>
      <c r="F3796" s="16" t="s">
        <v>8</v>
      </c>
      <c r="G3796" s="38" t="str">
        <f>HYPERLINK("http://enext.ua/s5033001")</f>
        <v>http://enext.ua/s5033001</v>
      </c>
    </row>
    <row r="3797" spans="2:7" ht="11.25" outlineLevel="5" x14ac:dyDescent="0.2">
      <c r="B3797" s="14" t="s">
        <v>7215</v>
      </c>
      <c r="C3797" s="14" t="s">
        <v>7216</v>
      </c>
      <c r="D3797" s="14">
        <v>1</v>
      </c>
      <c r="E3797" s="15">
        <v>3.2</v>
      </c>
      <c r="F3797" s="16" t="s">
        <v>8</v>
      </c>
      <c r="G3797" s="38" t="str">
        <f>HYPERLINK("http://enext.ua/s5033002")</f>
        <v>http://enext.ua/s5033002</v>
      </c>
    </row>
    <row r="3798" spans="2:7" ht="11.25" outlineLevel="5" x14ac:dyDescent="0.2">
      <c r="B3798" s="14" t="s">
        <v>7217</v>
      </c>
      <c r="C3798" s="14" t="s">
        <v>7218</v>
      </c>
      <c r="D3798" s="14">
        <v>1</v>
      </c>
      <c r="E3798" s="15">
        <v>4.6500000000000004</v>
      </c>
      <c r="F3798" s="16" t="s">
        <v>8</v>
      </c>
      <c r="G3798" s="38" t="str">
        <f>HYPERLINK("http://enext.ua/s5033003")</f>
        <v>http://enext.ua/s5033003</v>
      </c>
    </row>
    <row r="3799" spans="2:7" ht="11.25" outlineLevel="5" x14ac:dyDescent="0.2">
      <c r="B3799" s="14" t="s">
        <v>7219</v>
      </c>
      <c r="C3799" s="14" t="s">
        <v>7220</v>
      </c>
      <c r="D3799" s="14">
        <v>1</v>
      </c>
      <c r="E3799" s="15">
        <v>4.3600000000000003</v>
      </c>
      <c r="F3799" s="16" t="s">
        <v>8</v>
      </c>
      <c r="G3799" s="38" t="str">
        <f>HYPERLINK("http://enext.ua/s5033012")</f>
        <v>http://enext.ua/s5033012</v>
      </c>
    </row>
    <row r="3800" spans="2:7" ht="11.25" outlineLevel="5" x14ac:dyDescent="0.2">
      <c r="B3800" s="14" t="s">
        <v>7221</v>
      </c>
      <c r="C3800" s="14" t="s">
        <v>7222</v>
      </c>
      <c r="D3800" s="14">
        <v>1</v>
      </c>
      <c r="E3800" s="15">
        <v>4.3600000000000003</v>
      </c>
      <c r="F3800" s="16" t="s">
        <v>8</v>
      </c>
      <c r="G3800" s="38" t="str">
        <f>HYPERLINK("http://enext.ua/s5033004")</f>
        <v>http://enext.ua/s5033004</v>
      </c>
    </row>
    <row r="3801" spans="2:7" ht="11.25" outlineLevel="5" x14ac:dyDescent="0.2">
      <c r="B3801" s="14" t="s">
        <v>7223</v>
      </c>
      <c r="C3801" s="14" t="s">
        <v>7224</v>
      </c>
      <c r="D3801" s="14">
        <v>1</v>
      </c>
      <c r="E3801" s="15">
        <v>5.81</v>
      </c>
      <c r="F3801" s="16" t="s">
        <v>8</v>
      </c>
      <c r="G3801" s="38" t="str">
        <f>HYPERLINK("http://enext.ua/s5033015")</f>
        <v>http://enext.ua/s5033015</v>
      </c>
    </row>
    <row r="3802" spans="2:7" ht="11.25" outlineLevel="5" x14ac:dyDescent="0.2">
      <c r="B3802" s="14" t="s">
        <v>7225</v>
      </c>
      <c r="C3802" s="14" t="s">
        <v>7226</v>
      </c>
      <c r="D3802" s="14">
        <v>1</v>
      </c>
      <c r="E3802" s="15">
        <v>7.85</v>
      </c>
      <c r="F3802" s="16" t="s">
        <v>8</v>
      </c>
      <c r="G3802" s="38" t="str">
        <f>HYPERLINK("http://enext.ua/s5033013")</f>
        <v>http://enext.ua/s5033013</v>
      </c>
    </row>
    <row r="3803" spans="2:7" ht="11.25" outlineLevel="5" x14ac:dyDescent="0.2">
      <c r="B3803" s="14" t="s">
        <v>7227</v>
      </c>
      <c r="C3803" s="14" t="s">
        <v>7228</v>
      </c>
      <c r="D3803" s="14">
        <v>1</v>
      </c>
      <c r="E3803" s="15">
        <v>7.85</v>
      </c>
      <c r="F3803" s="16" t="s">
        <v>8</v>
      </c>
      <c r="G3803" s="38" t="str">
        <f>HYPERLINK("http://enext.ua/s5033005")</f>
        <v>http://enext.ua/s5033005</v>
      </c>
    </row>
    <row r="3804" spans="2:7" ht="11.25" outlineLevel="5" x14ac:dyDescent="0.2">
      <c r="B3804" s="14" t="s">
        <v>7229</v>
      </c>
      <c r="C3804" s="14" t="s">
        <v>7230</v>
      </c>
      <c r="D3804" s="14">
        <v>1</v>
      </c>
      <c r="E3804" s="15">
        <v>9.01</v>
      </c>
      <c r="F3804" s="16" t="s">
        <v>8</v>
      </c>
      <c r="G3804" s="38" t="str">
        <f>HYPERLINK("http://enext.ua/s5033006")</f>
        <v>http://enext.ua/s5033006</v>
      </c>
    </row>
    <row r="3805" spans="2:7" ht="11.25" outlineLevel="5" x14ac:dyDescent="0.2">
      <c r="B3805" s="14" t="s">
        <v>7231</v>
      </c>
      <c r="C3805" s="14" t="s">
        <v>7232</v>
      </c>
      <c r="D3805" s="14">
        <v>1</v>
      </c>
      <c r="E3805" s="15">
        <v>15.41</v>
      </c>
      <c r="F3805" s="16" t="s">
        <v>8</v>
      </c>
      <c r="G3805" s="38" t="str">
        <f>HYPERLINK("http://enext.ua/s5033007")</f>
        <v>http://enext.ua/s5033007</v>
      </c>
    </row>
    <row r="3806" spans="2:7" ht="11.25" outlineLevel="5" x14ac:dyDescent="0.2">
      <c r="B3806" s="14" t="s">
        <v>7233</v>
      </c>
      <c r="C3806" s="14" t="s">
        <v>7234</v>
      </c>
      <c r="D3806" s="14">
        <v>1</v>
      </c>
      <c r="E3806" s="15">
        <v>24.41</v>
      </c>
      <c r="F3806" s="16" t="s">
        <v>8</v>
      </c>
      <c r="G3806" s="38" t="str">
        <f>HYPERLINK("http://enext.ua/s5033014")</f>
        <v>http://enext.ua/s5033014</v>
      </c>
    </row>
    <row r="3807" spans="2:7" ht="11.25" outlineLevel="5" x14ac:dyDescent="0.2">
      <c r="B3807" s="14" t="s">
        <v>7235</v>
      </c>
      <c r="C3807" s="14" t="s">
        <v>7236</v>
      </c>
      <c r="D3807" s="14">
        <v>1</v>
      </c>
      <c r="E3807" s="15">
        <v>27.03</v>
      </c>
      <c r="F3807" s="16" t="s">
        <v>8</v>
      </c>
      <c r="G3807" s="38" t="str">
        <f>HYPERLINK("http://enext.ua/s5033008")</f>
        <v>http://enext.ua/s5033008</v>
      </c>
    </row>
    <row r="3808" spans="2:7" ht="11.25" outlineLevel="5" x14ac:dyDescent="0.2">
      <c r="B3808" s="14" t="s">
        <v>7237</v>
      </c>
      <c r="C3808" s="14" t="s">
        <v>7238</v>
      </c>
      <c r="D3808" s="14">
        <v>1</v>
      </c>
      <c r="E3808" s="15">
        <v>43.3</v>
      </c>
      <c r="F3808" s="16" t="s">
        <v>8</v>
      </c>
      <c r="G3808" s="38" t="str">
        <f>HYPERLINK("http://enext.ua/s5033009")</f>
        <v>http://enext.ua/s5033009</v>
      </c>
    </row>
    <row r="3809" spans="2:7" ht="12" outlineLevel="4" x14ac:dyDescent="0.2">
      <c r="B3809" s="12"/>
      <c r="C3809" s="37" t="s">
        <v>7239</v>
      </c>
      <c r="D3809" s="12"/>
      <c r="E3809" s="13"/>
      <c r="F3809" s="13"/>
      <c r="G3809" s="12"/>
    </row>
    <row r="3810" spans="2:7" ht="11.25" outlineLevel="5" x14ac:dyDescent="0.2">
      <c r="B3810" s="14" t="s">
        <v>7240</v>
      </c>
      <c r="C3810" s="14" t="s">
        <v>7241</v>
      </c>
      <c r="D3810" s="14">
        <v>1</v>
      </c>
      <c r="E3810" s="15">
        <v>24.41</v>
      </c>
      <c r="F3810" s="16" t="s">
        <v>8</v>
      </c>
      <c r="G3810" s="38" t="str">
        <f>HYPERLINK("http://enext.ua/s6033010")</f>
        <v>http://enext.ua/s6033010</v>
      </c>
    </row>
    <row r="3811" spans="2:7" ht="11.25" outlineLevel="5" x14ac:dyDescent="0.2">
      <c r="B3811" s="14" t="s">
        <v>7242</v>
      </c>
      <c r="C3811" s="14" t="s">
        <v>7243</v>
      </c>
      <c r="D3811" s="14">
        <v>1</v>
      </c>
      <c r="E3811" s="15">
        <v>37.49</v>
      </c>
      <c r="F3811" s="16" t="s">
        <v>8</v>
      </c>
      <c r="G3811" s="38" t="str">
        <f>HYPERLINK("http://enext.ua/s6033011")</f>
        <v>http://enext.ua/s6033011</v>
      </c>
    </row>
    <row r="3812" spans="2:7" ht="11.25" outlineLevel="5" x14ac:dyDescent="0.2">
      <c r="B3812" s="14" t="s">
        <v>7244</v>
      </c>
      <c r="C3812" s="14" t="s">
        <v>7245</v>
      </c>
      <c r="D3812" s="14">
        <v>1</v>
      </c>
      <c r="E3812" s="15">
        <v>1.1599999999999999</v>
      </c>
      <c r="F3812" s="16" t="s">
        <v>8</v>
      </c>
      <c r="G3812" s="38" t="str">
        <f>HYPERLINK("http://enext.ua/s6033001")</f>
        <v>http://enext.ua/s6033001</v>
      </c>
    </row>
    <row r="3813" spans="2:7" ht="11.25" outlineLevel="5" x14ac:dyDescent="0.2">
      <c r="B3813" s="14" t="s">
        <v>7246</v>
      </c>
      <c r="C3813" s="14" t="s">
        <v>7247</v>
      </c>
      <c r="D3813" s="14">
        <v>1</v>
      </c>
      <c r="E3813" s="15">
        <v>2.04</v>
      </c>
      <c r="F3813" s="16" t="s">
        <v>8</v>
      </c>
      <c r="G3813" s="38" t="str">
        <f>HYPERLINK("http://enext.ua/s6033003")</f>
        <v>http://enext.ua/s6033003</v>
      </c>
    </row>
    <row r="3814" spans="2:7" ht="11.25" outlineLevel="5" x14ac:dyDescent="0.2">
      <c r="B3814" s="14" t="s">
        <v>7248</v>
      </c>
      <c r="C3814" s="14" t="s">
        <v>7249</v>
      </c>
      <c r="D3814" s="14">
        <v>1</v>
      </c>
      <c r="E3814" s="15">
        <v>2.62</v>
      </c>
      <c r="F3814" s="16" t="s">
        <v>8</v>
      </c>
      <c r="G3814" s="38" t="str">
        <f>HYPERLINK("http://enext.ua/s6033012")</f>
        <v>http://enext.ua/s6033012</v>
      </c>
    </row>
    <row r="3815" spans="2:7" ht="11.25" outlineLevel="5" x14ac:dyDescent="0.2">
      <c r="B3815" s="14" t="s">
        <v>7250</v>
      </c>
      <c r="C3815" s="14" t="s">
        <v>7251</v>
      </c>
      <c r="D3815" s="14">
        <v>1</v>
      </c>
      <c r="E3815" s="15">
        <v>2.62</v>
      </c>
      <c r="F3815" s="16" t="s">
        <v>8</v>
      </c>
      <c r="G3815" s="38" t="str">
        <f>HYPERLINK("http://enext.ua/s6033004")</f>
        <v>http://enext.ua/s6033004</v>
      </c>
    </row>
    <row r="3816" spans="2:7" ht="11.25" outlineLevel="5" x14ac:dyDescent="0.2">
      <c r="B3816" s="14" t="s">
        <v>7252</v>
      </c>
      <c r="C3816" s="14" t="s">
        <v>7253</v>
      </c>
      <c r="D3816" s="14">
        <v>1</v>
      </c>
      <c r="E3816" s="15">
        <v>3.78</v>
      </c>
      <c r="F3816" s="16" t="s">
        <v>8</v>
      </c>
      <c r="G3816" s="38" t="str">
        <f>HYPERLINK("http://enext.ua/s6033015")</f>
        <v>http://enext.ua/s6033015</v>
      </c>
    </row>
    <row r="3817" spans="2:7" ht="11.25" outlineLevel="5" x14ac:dyDescent="0.2">
      <c r="B3817" s="14" t="s">
        <v>7254</v>
      </c>
      <c r="C3817" s="14" t="s">
        <v>7255</v>
      </c>
      <c r="D3817" s="14">
        <v>1</v>
      </c>
      <c r="E3817" s="15">
        <v>4.6500000000000004</v>
      </c>
      <c r="F3817" s="16" t="s">
        <v>8</v>
      </c>
      <c r="G3817" s="38" t="str">
        <f>HYPERLINK("http://enext.ua/s6033013")</f>
        <v>http://enext.ua/s6033013</v>
      </c>
    </row>
    <row r="3818" spans="2:7" ht="11.25" outlineLevel="5" x14ac:dyDescent="0.2">
      <c r="B3818" s="14" t="s">
        <v>7256</v>
      </c>
      <c r="C3818" s="14" t="s">
        <v>7257</v>
      </c>
      <c r="D3818" s="14">
        <v>1</v>
      </c>
      <c r="E3818" s="15">
        <v>4.6500000000000004</v>
      </c>
      <c r="F3818" s="16" t="s">
        <v>8</v>
      </c>
      <c r="G3818" s="38" t="str">
        <f>HYPERLINK("http://enext.ua/s6033005")</f>
        <v>http://enext.ua/s6033005</v>
      </c>
    </row>
    <row r="3819" spans="2:7" ht="11.25" outlineLevel="5" x14ac:dyDescent="0.2">
      <c r="B3819" s="14" t="s">
        <v>7258</v>
      </c>
      <c r="C3819" s="14" t="s">
        <v>7259</v>
      </c>
      <c r="D3819" s="14">
        <v>1</v>
      </c>
      <c r="E3819" s="15">
        <v>6.39</v>
      </c>
      <c r="F3819" s="16" t="s">
        <v>8</v>
      </c>
      <c r="G3819" s="38" t="str">
        <f>HYPERLINK("http://enext.ua/s6033006")</f>
        <v>http://enext.ua/s6033006</v>
      </c>
    </row>
    <row r="3820" spans="2:7" ht="11.25" outlineLevel="5" x14ac:dyDescent="0.2">
      <c r="B3820" s="14" t="s">
        <v>7260</v>
      </c>
      <c r="C3820" s="14" t="s">
        <v>7261</v>
      </c>
      <c r="D3820" s="14">
        <v>1</v>
      </c>
      <c r="E3820" s="15">
        <v>10.46</v>
      </c>
      <c r="F3820" s="16" t="s">
        <v>8</v>
      </c>
      <c r="G3820" s="38" t="str">
        <f>HYPERLINK("http://enext.ua/s6033007")</f>
        <v>http://enext.ua/s6033007</v>
      </c>
    </row>
    <row r="3821" spans="2:7" ht="11.25" outlineLevel="5" x14ac:dyDescent="0.2">
      <c r="B3821" s="14" t="s">
        <v>7262</v>
      </c>
      <c r="C3821" s="14" t="s">
        <v>7263</v>
      </c>
      <c r="D3821" s="14">
        <v>1</v>
      </c>
      <c r="E3821" s="15">
        <v>16.850000000000001</v>
      </c>
      <c r="F3821" s="16" t="s">
        <v>8</v>
      </c>
      <c r="G3821" s="38" t="str">
        <f>HYPERLINK("http://enext.ua/s6033014")</f>
        <v>http://enext.ua/s6033014</v>
      </c>
    </row>
    <row r="3822" spans="2:7" ht="11.25" outlineLevel="5" x14ac:dyDescent="0.2">
      <c r="B3822" s="14" t="s">
        <v>7264</v>
      </c>
      <c r="C3822" s="14" t="s">
        <v>7265</v>
      </c>
      <c r="D3822" s="14">
        <v>1</v>
      </c>
      <c r="E3822" s="15">
        <v>18.600000000000001</v>
      </c>
      <c r="F3822" s="16" t="s">
        <v>8</v>
      </c>
      <c r="G3822" s="38" t="str">
        <f>HYPERLINK("http://enext.ua/s6033008")</f>
        <v>http://enext.ua/s6033008</v>
      </c>
    </row>
    <row r="3823" spans="2:7" ht="11.25" outlineLevel="5" x14ac:dyDescent="0.2">
      <c r="B3823" s="14" t="s">
        <v>7266</v>
      </c>
      <c r="C3823" s="14" t="s">
        <v>7267</v>
      </c>
      <c r="D3823" s="14">
        <v>1</v>
      </c>
      <c r="E3823" s="15">
        <v>30.22</v>
      </c>
      <c r="F3823" s="16" t="s">
        <v>8</v>
      </c>
      <c r="G3823" s="38" t="str">
        <f>HYPERLINK("http://enext.ua/s6033009")</f>
        <v>http://enext.ua/s6033009</v>
      </c>
    </row>
    <row r="3824" spans="2:7" ht="12" outlineLevel="4" x14ac:dyDescent="0.2">
      <c r="B3824" s="12"/>
      <c r="C3824" s="37" t="s">
        <v>7268</v>
      </c>
      <c r="D3824" s="12"/>
      <c r="E3824" s="13"/>
      <c r="F3824" s="13"/>
      <c r="G3824" s="12"/>
    </row>
    <row r="3825" spans="2:7" ht="11.25" outlineLevel="5" x14ac:dyDescent="0.2">
      <c r="B3825" s="14" t="s">
        <v>7269</v>
      </c>
      <c r="C3825" s="14" t="s">
        <v>7270</v>
      </c>
      <c r="D3825" s="14">
        <v>1</v>
      </c>
      <c r="E3825" s="15">
        <v>4.6500000000000004</v>
      </c>
      <c r="F3825" s="16" t="s">
        <v>8</v>
      </c>
      <c r="G3825" s="38" t="str">
        <f>HYPERLINK("http://enext.ua/s16033001")</f>
        <v>http://enext.ua/s16033001</v>
      </c>
    </row>
    <row r="3826" spans="2:7" ht="11.25" outlineLevel="5" x14ac:dyDescent="0.2">
      <c r="B3826" s="14" t="s">
        <v>7271</v>
      </c>
      <c r="C3826" s="14" t="s">
        <v>7272</v>
      </c>
      <c r="D3826" s="14">
        <v>1</v>
      </c>
      <c r="E3826" s="15">
        <v>6.97</v>
      </c>
      <c r="F3826" s="16" t="s">
        <v>8</v>
      </c>
      <c r="G3826" s="38" t="str">
        <f>HYPERLINK("http://enext.ua/s16033002")</f>
        <v>http://enext.ua/s16033002</v>
      </c>
    </row>
    <row r="3827" spans="2:7" ht="11.25" outlineLevel="5" x14ac:dyDescent="0.2">
      <c r="B3827" s="14" t="s">
        <v>7273</v>
      </c>
      <c r="C3827" s="14" t="s">
        <v>7274</v>
      </c>
      <c r="D3827" s="14">
        <v>1</v>
      </c>
      <c r="E3827" s="15">
        <v>7.27</v>
      </c>
      <c r="F3827" s="16" t="s">
        <v>8</v>
      </c>
      <c r="G3827" s="38" t="str">
        <f>HYPERLINK("http://enext.ua/s16033003")</f>
        <v>http://enext.ua/s16033003</v>
      </c>
    </row>
    <row r="3828" spans="2:7" ht="12" outlineLevel="4" x14ac:dyDescent="0.2">
      <c r="B3828" s="12"/>
      <c r="C3828" s="37" t="s">
        <v>7275</v>
      </c>
      <c r="D3828" s="12"/>
      <c r="E3828" s="13"/>
      <c r="F3828" s="13"/>
      <c r="G3828" s="12"/>
    </row>
    <row r="3829" spans="2:7" ht="11.25" outlineLevel="5" x14ac:dyDescent="0.2">
      <c r="B3829" s="14" t="s">
        <v>7276</v>
      </c>
      <c r="C3829" s="14" t="s">
        <v>7277</v>
      </c>
      <c r="D3829" s="14">
        <v>1</v>
      </c>
      <c r="E3829" s="15">
        <v>1.46</v>
      </c>
      <c r="F3829" s="16" t="s">
        <v>8</v>
      </c>
      <c r="G3829" s="38" t="str">
        <f>HYPERLINK("http://enext.ua/s15033001")</f>
        <v>http://enext.ua/s15033001</v>
      </c>
    </row>
    <row r="3830" spans="2:7" ht="11.25" outlineLevel="5" x14ac:dyDescent="0.2">
      <c r="B3830" s="14" t="s">
        <v>7278</v>
      </c>
      <c r="C3830" s="14" t="s">
        <v>7279</v>
      </c>
      <c r="D3830" s="14">
        <v>1</v>
      </c>
      <c r="E3830" s="15">
        <v>2.62</v>
      </c>
      <c r="F3830" s="16" t="s">
        <v>8</v>
      </c>
      <c r="G3830" s="38" t="str">
        <f>HYPERLINK("http://enext.ua/s15033002")</f>
        <v>http://enext.ua/s15033002</v>
      </c>
    </row>
    <row r="3831" spans="2:7" ht="11.25" outlineLevel="5" x14ac:dyDescent="0.2">
      <c r="B3831" s="14" t="s">
        <v>7280</v>
      </c>
      <c r="C3831" s="14" t="s">
        <v>7281</v>
      </c>
      <c r="D3831" s="14">
        <v>1</v>
      </c>
      <c r="E3831" s="15">
        <v>2.62</v>
      </c>
      <c r="F3831" s="16" t="s">
        <v>8</v>
      </c>
      <c r="G3831" s="38" t="str">
        <f>HYPERLINK("http://enext.ua/s15033003")</f>
        <v>http://enext.ua/s15033003</v>
      </c>
    </row>
    <row r="3832" spans="2:7" ht="11.25" outlineLevel="5" x14ac:dyDescent="0.2">
      <c r="B3832" s="14" t="s">
        <v>7282</v>
      </c>
      <c r="C3832" s="14" t="s">
        <v>7283</v>
      </c>
      <c r="D3832" s="14">
        <v>1</v>
      </c>
      <c r="E3832" s="15">
        <v>2.62</v>
      </c>
      <c r="F3832" s="16" t="s">
        <v>8</v>
      </c>
      <c r="G3832" s="38" t="str">
        <f>HYPERLINK("http://enext.ua/s15033007")</f>
        <v>http://enext.ua/s15033007</v>
      </c>
    </row>
    <row r="3833" spans="2:7" ht="11.25" outlineLevel="5" x14ac:dyDescent="0.2">
      <c r="B3833" s="14" t="s">
        <v>7284</v>
      </c>
      <c r="C3833" s="14" t="s">
        <v>7285</v>
      </c>
      <c r="D3833" s="14">
        <v>1</v>
      </c>
      <c r="E3833" s="15">
        <v>2.62</v>
      </c>
      <c r="F3833" s="16" t="s">
        <v>8</v>
      </c>
      <c r="G3833" s="38" t="str">
        <f>HYPERLINK("http://enext.ua/s15033004")</f>
        <v>http://enext.ua/s15033004</v>
      </c>
    </row>
    <row r="3834" spans="2:7" ht="11.25" outlineLevel="5" x14ac:dyDescent="0.2">
      <c r="B3834" s="14" t="s">
        <v>7286</v>
      </c>
      <c r="C3834" s="14" t="s">
        <v>7287</v>
      </c>
      <c r="D3834" s="14">
        <v>1</v>
      </c>
      <c r="E3834" s="15">
        <v>4.3600000000000003</v>
      </c>
      <c r="F3834" s="16" t="s">
        <v>8</v>
      </c>
      <c r="G3834" s="38" t="str">
        <f>HYPERLINK("http://enext.ua/s15033010")</f>
        <v>http://enext.ua/s15033010</v>
      </c>
    </row>
    <row r="3835" spans="2:7" ht="11.25" outlineLevel="5" x14ac:dyDescent="0.2">
      <c r="B3835" s="14" t="s">
        <v>7288</v>
      </c>
      <c r="C3835" s="14" t="s">
        <v>7289</v>
      </c>
      <c r="D3835" s="14">
        <v>1</v>
      </c>
      <c r="E3835" s="15">
        <v>4.3600000000000003</v>
      </c>
      <c r="F3835" s="16" t="s">
        <v>8</v>
      </c>
      <c r="G3835" s="38" t="str">
        <f>HYPERLINK("http://enext.ua/s15033008")</f>
        <v>http://enext.ua/s15033008</v>
      </c>
    </row>
    <row r="3836" spans="2:7" ht="11.25" outlineLevel="5" x14ac:dyDescent="0.2">
      <c r="B3836" s="14" t="s">
        <v>7290</v>
      </c>
      <c r="C3836" s="14" t="s">
        <v>7291</v>
      </c>
      <c r="D3836" s="14">
        <v>1</v>
      </c>
      <c r="E3836" s="15">
        <v>11.04</v>
      </c>
      <c r="F3836" s="16" t="s">
        <v>8</v>
      </c>
      <c r="G3836" s="38" t="str">
        <f>HYPERLINK("http://enext.ua/s15033009")</f>
        <v>http://enext.ua/s15033009</v>
      </c>
    </row>
    <row r="3837" spans="2:7" ht="12" outlineLevel="2" x14ac:dyDescent="0.2">
      <c r="B3837" s="8"/>
      <c r="C3837" s="35" t="s">
        <v>7292</v>
      </c>
      <c r="D3837" s="8"/>
      <c r="E3837" s="9"/>
      <c r="F3837" s="9"/>
      <c r="G3837" s="8"/>
    </row>
    <row r="3838" spans="2:7" ht="12" outlineLevel="3" x14ac:dyDescent="0.2">
      <c r="B3838" s="10"/>
      <c r="C3838" s="36" t="s">
        <v>7293</v>
      </c>
      <c r="D3838" s="10"/>
      <c r="E3838" s="11"/>
      <c r="F3838" s="11"/>
      <c r="G3838" s="10"/>
    </row>
    <row r="3839" spans="2:7" ht="24" outlineLevel="4" x14ac:dyDescent="0.2">
      <c r="B3839" s="12"/>
      <c r="C3839" s="37" t="s">
        <v>7294</v>
      </c>
      <c r="D3839" s="12"/>
      <c r="E3839" s="13"/>
      <c r="F3839" s="13"/>
      <c r="G3839" s="12"/>
    </row>
    <row r="3840" spans="2:7" ht="11.25" outlineLevel="5" x14ac:dyDescent="0.2">
      <c r="B3840" s="14" t="s">
        <v>7295</v>
      </c>
      <c r="C3840" s="14" t="s">
        <v>7296</v>
      </c>
      <c r="D3840" s="14">
        <v>1</v>
      </c>
      <c r="E3840" s="15">
        <v>3.29</v>
      </c>
      <c r="F3840" s="16" t="s">
        <v>4214</v>
      </c>
      <c r="G3840" s="38" t="str">
        <f>HYPERLINK("http://enext.ua/s035108")</f>
        <v>http://enext.ua/s035108</v>
      </c>
    </row>
    <row r="3841" spans="2:7" ht="11.25" outlineLevel="5" x14ac:dyDescent="0.2">
      <c r="B3841" s="14" t="s">
        <v>7297</v>
      </c>
      <c r="C3841" s="14" t="s">
        <v>7298</v>
      </c>
      <c r="D3841" s="14">
        <v>1</v>
      </c>
      <c r="E3841" s="15">
        <v>4.33</v>
      </c>
      <c r="F3841" s="16" t="s">
        <v>4214</v>
      </c>
      <c r="G3841" s="38" t="str">
        <f>HYPERLINK("http://enext.ua/s035109")</f>
        <v>http://enext.ua/s035109</v>
      </c>
    </row>
    <row r="3842" spans="2:7" ht="11.25" outlineLevel="5" x14ac:dyDescent="0.2">
      <c r="B3842" s="14" t="s">
        <v>7299</v>
      </c>
      <c r="C3842" s="14" t="s">
        <v>7300</v>
      </c>
      <c r="D3842" s="14">
        <v>1</v>
      </c>
      <c r="E3842" s="15">
        <v>6.14</v>
      </c>
      <c r="F3842" s="16" t="s">
        <v>4214</v>
      </c>
      <c r="G3842" s="38" t="str">
        <f>HYPERLINK("http://enext.ua/s035110")</f>
        <v>http://enext.ua/s035110</v>
      </c>
    </row>
    <row r="3843" spans="2:7" ht="11.25" outlineLevel="5" x14ac:dyDescent="0.2">
      <c r="B3843" s="14" t="s">
        <v>7301</v>
      </c>
      <c r="C3843" s="14" t="s">
        <v>7302</v>
      </c>
      <c r="D3843" s="14">
        <v>1</v>
      </c>
      <c r="E3843" s="15">
        <v>10.69</v>
      </c>
      <c r="F3843" s="16" t="s">
        <v>4214</v>
      </c>
      <c r="G3843" s="38" t="str">
        <f>HYPERLINK("http://enext.ua/s035111")</f>
        <v>http://enext.ua/s035111</v>
      </c>
    </row>
    <row r="3844" spans="2:7" ht="12" outlineLevel="4" x14ac:dyDescent="0.2">
      <c r="B3844" s="12"/>
      <c r="C3844" s="37" t="s">
        <v>7303</v>
      </c>
      <c r="D3844" s="12"/>
      <c r="E3844" s="13"/>
      <c r="F3844" s="13"/>
      <c r="G3844" s="12"/>
    </row>
    <row r="3845" spans="2:7" ht="11.25" outlineLevel="5" x14ac:dyDescent="0.2">
      <c r="B3845" s="14" t="s">
        <v>7304</v>
      </c>
      <c r="C3845" s="14" t="s">
        <v>7305</v>
      </c>
      <c r="D3845" s="14">
        <v>1</v>
      </c>
      <c r="E3845" s="15">
        <v>4.54</v>
      </c>
      <c r="F3845" s="16" t="s">
        <v>4214</v>
      </c>
      <c r="G3845" s="38" t="str">
        <f>HYPERLINK("http://enext.ua/s028001")</f>
        <v>http://enext.ua/s028001</v>
      </c>
    </row>
    <row r="3846" spans="2:7" ht="11.25" outlineLevel="5" x14ac:dyDescent="0.2">
      <c r="B3846" s="14" t="s">
        <v>7306</v>
      </c>
      <c r="C3846" s="14" t="s">
        <v>7307</v>
      </c>
      <c r="D3846" s="14">
        <v>1</v>
      </c>
      <c r="E3846" s="15">
        <v>5.69</v>
      </c>
      <c r="F3846" s="16" t="s">
        <v>4214</v>
      </c>
      <c r="G3846" s="38" t="str">
        <f>HYPERLINK("http://enext.ua/s028002")</f>
        <v>http://enext.ua/s028002</v>
      </c>
    </row>
    <row r="3847" spans="2:7" ht="11.25" outlineLevel="5" x14ac:dyDescent="0.2">
      <c r="B3847" s="14" t="s">
        <v>7308</v>
      </c>
      <c r="C3847" s="14" t="s">
        <v>7309</v>
      </c>
      <c r="D3847" s="14">
        <v>1</v>
      </c>
      <c r="E3847" s="15">
        <v>8.75</v>
      </c>
      <c r="F3847" s="16" t="s">
        <v>4214</v>
      </c>
      <c r="G3847" s="38" t="str">
        <f>HYPERLINK("http://enext.ua/s028033")</f>
        <v>http://enext.ua/s028033</v>
      </c>
    </row>
    <row r="3848" spans="2:7" ht="11.25" outlineLevel="5" x14ac:dyDescent="0.2">
      <c r="B3848" s="14" t="s">
        <v>7310</v>
      </c>
      <c r="C3848" s="14" t="s">
        <v>7311</v>
      </c>
      <c r="D3848" s="14">
        <v>1</v>
      </c>
      <c r="E3848" s="15">
        <v>8.75</v>
      </c>
      <c r="F3848" s="16" t="s">
        <v>4214</v>
      </c>
      <c r="G3848" s="38" t="str">
        <f>HYPERLINK("http://enext.ua/s028014")</f>
        <v>http://enext.ua/s028014</v>
      </c>
    </row>
    <row r="3849" spans="2:7" ht="11.25" outlineLevel="5" x14ac:dyDescent="0.2">
      <c r="B3849" s="14" t="s">
        <v>7312</v>
      </c>
      <c r="C3849" s="14" t="s">
        <v>7313</v>
      </c>
      <c r="D3849" s="14">
        <v>1</v>
      </c>
      <c r="E3849" s="15">
        <v>8.75</v>
      </c>
      <c r="F3849" s="16" t="s">
        <v>4214</v>
      </c>
      <c r="G3849" s="38" t="str">
        <f>HYPERLINK("http://enext.ua/s028003")</f>
        <v>http://enext.ua/s028003</v>
      </c>
    </row>
    <row r="3850" spans="2:7" ht="11.25" outlineLevel="5" x14ac:dyDescent="0.2">
      <c r="B3850" s="14" t="s">
        <v>7314</v>
      </c>
      <c r="C3850" s="14" t="s">
        <v>7315</v>
      </c>
      <c r="D3850" s="14">
        <v>1</v>
      </c>
      <c r="E3850" s="15">
        <v>14.54</v>
      </c>
      <c r="F3850" s="16" t="s">
        <v>4214</v>
      </c>
      <c r="G3850" s="38" t="str">
        <f>HYPERLINK("http://enext.ua/s028031")</f>
        <v>http://enext.ua/s028031</v>
      </c>
    </row>
    <row r="3851" spans="2:7" ht="11.25" outlineLevel="5" x14ac:dyDescent="0.2">
      <c r="B3851" s="14" t="s">
        <v>7316</v>
      </c>
      <c r="C3851" s="14" t="s">
        <v>7317</v>
      </c>
      <c r="D3851" s="14">
        <v>1</v>
      </c>
      <c r="E3851" s="15">
        <v>14.54</v>
      </c>
      <c r="F3851" s="16" t="s">
        <v>4214</v>
      </c>
      <c r="G3851" s="38" t="str">
        <f>HYPERLINK("http://enext.ua/s028004")</f>
        <v>http://enext.ua/s028004</v>
      </c>
    </row>
    <row r="3852" spans="2:7" ht="11.25" outlineLevel="5" x14ac:dyDescent="0.2">
      <c r="B3852" s="14" t="s">
        <v>7318</v>
      </c>
      <c r="C3852" s="14" t="s">
        <v>7319</v>
      </c>
      <c r="D3852" s="14">
        <v>1</v>
      </c>
      <c r="E3852" s="15">
        <v>14.76</v>
      </c>
      <c r="F3852" s="16" t="s">
        <v>4214</v>
      </c>
      <c r="G3852" s="38" t="str">
        <f>HYPERLINK("http://enext.ua/s028015")</f>
        <v>http://enext.ua/s028015</v>
      </c>
    </row>
    <row r="3853" spans="2:7" ht="11.25" outlineLevel="5" x14ac:dyDescent="0.2">
      <c r="B3853" s="14" t="s">
        <v>7320</v>
      </c>
      <c r="C3853" s="14" t="s">
        <v>7321</v>
      </c>
      <c r="D3853" s="14">
        <v>1</v>
      </c>
      <c r="E3853" s="15">
        <v>16.010000000000002</v>
      </c>
      <c r="F3853" s="16" t="s">
        <v>4214</v>
      </c>
      <c r="G3853" s="38" t="str">
        <f>HYPERLINK("http://enext.ua/s028005")</f>
        <v>http://enext.ua/s028005</v>
      </c>
    </row>
    <row r="3854" spans="2:7" ht="11.25" outlineLevel="5" x14ac:dyDescent="0.2">
      <c r="B3854" s="14" t="s">
        <v>7322</v>
      </c>
      <c r="C3854" s="14" t="s">
        <v>7323</v>
      </c>
      <c r="D3854" s="14">
        <v>1</v>
      </c>
      <c r="E3854" s="15">
        <v>22.34</v>
      </c>
      <c r="F3854" s="16" t="s">
        <v>4214</v>
      </c>
      <c r="G3854" s="38" t="str">
        <f>HYPERLINK("http://enext.ua/s028012")</f>
        <v>http://enext.ua/s028012</v>
      </c>
    </row>
    <row r="3855" spans="2:7" ht="11.25" outlineLevel="5" x14ac:dyDescent="0.2">
      <c r="B3855" s="14" t="s">
        <v>7324</v>
      </c>
      <c r="C3855" s="14" t="s">
        <v>7325</v>
      </c>
      <c r="D3855" s="14">
        <v>1</v>
      </c>
      <c r="E3855" s="15">
        <v>4.3600000000000003</v>
      </c>
      <c r="F3855" s="16" t="s">
        <v>4214</v>
      </c>
      <c r="G3855" s="38" t="str">
        <f>HYPERLINK("http://enext.ua/s0280016")</f>
        <v>http://enext.ua/s0280016</v>
      </c>
    </row>
    <row r="3856" spans="2:7" ht="12" outlineLevel="4" x14ac:dyDescent="0.2">
      <c r="B3856" s="12"/>
      <c r="C3856" s="37" t="s">
        <v>7326</v>
      </c>
      <c r="D3856" s="12"/>
      <c r="E3856" s="13"/>
      <c r="F3856" s="13"/>
      <c r="G3856" s="12"/>
    </row>
    <row r="3857" spans="2:7" ht="11.25" outlineLevel="5" x14ac:dyDescent="0.2">
      <c r="B3857" s="14" t="s">
        <v>7327</v>
      </c>
      <c r="C3857" s="14" t="s">
        <v>7328</v>
      </c>
      <c r="D3857" s="14">
        <v>1</v>
      </c>
      <c r="E3857" s="15">
        <v>261.36</v>
      </c>
      <c r="F3857" s="16" t="s">
        <v>7329</v>
      </c>
      <c r="G3857" s="38" t="str">
        <f>HYPERLINK("http://enext.ua/s028044b")</f>
        <v>http://enext.ua/s028044b</v>
      </c>
    </row>
    <row r="3858" spans="2:7" ht="11.25" outlineLevel="5" x14ac:dyDescent="0.2">
      <c r="B3858" s="14" t="s">
        <v>7330</v>
      </c>
      <c r="C3858" s="14" t="s">
        <v>7331</v>
      </c>
      <c r="D3858" s="14">
        <v>1</v>
      </c>
      <c r="E3858" s="15">
        <v>522.73</v>
      </c>
      <c r="F3858" s="16" t="s">
        <v>7329</v>
      </c>
      <c r="G3858" s="38" t="str">
        <f>HYPERLINK("http://enext.ua/s028036b")</f>
        <v>http://enext.ua/s028036b</v>
      </c>
    </row>
    <row r="3859" spans="2:7" ht="11.25" outlineLevel="5" x14ac:dyDescent="0.2">
      <c r="B3859" s="14" t="s">
        <v>7332</v>
      </c>
      <c r="C3859" s="14" t="s">
        <v>7333</v>
      </c>
      <c r="D3859" s="14">
        <v>1</v>
      </c>
      <c r="E3859" s="15">
        <v>306.81</v>
      </c>
      <c r="F3859" s="16" t="s">
        <v>7329</v>
      </c>
      <c r="G3859" s="38" t="str">
        <f>HYPERLINK("http://enext.ua/s028045b")</f>
        <v>http://enext.ua/s028045b</v>
      </c>
    </row>
    <row r="3860" spans="2:7" ht="11.25" outlineLevel="5" x14ac:dyDescent="0.2">
      <c r="B3860" s="14" t="s">
        <v>7334</v>
      </c>
      <c r="C3860" s="14" t="s">
        <v>7335</v>
      </c>
      <c r="D3860" s="14">
        <v>1</v>
      </c>
      <c r="E3860" s="15">
        <v>613.64</v>
      </c>
      <c r="F3860" s="16" t="s">
        <v>7329</v>
      </c>
      <c r="G3860" s="38" t="str">
        <f>HYPERLINK("http://enext.ua/s028037b")</f>
        <v>http://enext.ua/s028037b</v>
      </c>
    </row>
    <row r="3861" spans="2:7" ht="11.25" outlineLevel="5" x14ac:dyDescent="0.2">
      <c r="B3861" s="14" t="s">
        <v>7336</v>
      </c>
      <c r="C3861" s="14" t="s">
        <v>7337</v>
      </c>
      <c r="D3861" s="14">
        <v>1</v>
      </c>
      <c r="E3861" s="15">
        <v>471.6</v>
      </c>
      <c r="F3861" s="16" t="s">
        <v>7329</v>
      </c>
      <c r="G3861" s="38" t="str">
        <f>HYPERLINK("http://enext.ua/s028046b")</f>
        <v>http://enext.ua/s028046b</v>
      </c>
    </row>
    <row r="3862" spans="2:7" ht="11.25" outlineLevel="5" x14ac:dyDescent="0.2">
      <c r="B3862" s="14" t="s">
        <v>7338</v>
      </c>
      <c r="C3862" s="14" t="s">
        <v>7339</v>
      </c>
      <c r="D3862" s="14">
        <v>1</v>
      </c>
      <c r="E3862" s="15">
        <v>943.17</v>
      </c>
      <c r="F3862" s="16" t="s">
        <v>7329</v>
      </c>
      <c r="G3862" s="38" t="str">
        <f>HYPERLINK("http://enext.ua/s028038b")</f>
        <v>http://enext.ua/s028038b</v>
      </c>
    </row>
    <row r="3863" spans="2:7" ht="11.25" outlineLevel="5" x14ac:dyDescent="0.2">
      <c r="B3863" s="14" t="s">
        <v>7340</v>
      </c>
      <c r="C3863" s="14" t="s">
        <v>7341</v>
      </c>
      <c r="D3863" s="14">
        <v>1</v>
      </c>
      <c r="E3863" s="15">
        <v>419.33</v>
      </c>
      <c r="F3863" s="16" t="s">
        <v>7329</v>
      </c>
      <c r="G3863" s="38" t="str">
        <f>HYPERLINK("http://enext.ua/s028047b")</f>
        <v>http://enext.ua/s028047b</v>
      </c>
    </row>
    <row r="3864" spans="2:7" ht="11.25" outlineLevel="5" x14ac:dyDescent="0.2">
      <c r="B3864" s="14" t="s">
        <v>7342</v>
      </c>
      <c r="C3864" s="14" t="s">
        <v>7343</v>
      </c>
      <c r="D3864" s="14">
        <v>1</v>
      </c>
      <c r="E3864" s="15">
        <v>698.87</v>
      </c>
      <c r="F3864" s="16" t="s">
        <v>7329</v>
      </c>
      <c r="G3864" s="38" t="str">
        <f>HYPERLINK("http://enext.ua/s028039b")</f>
        <v>http://enext.ua/s028039b</v>
      </c>
    </row>
    <row r="3865" spans="2:7" ht="12" outlineLevel="3" x14ac:dyDescent="0.2">
      <c r="B3865" s="10"/>
      <c r="C3865" s="36" t="s">
        <v>7344</v>
      </c>
      <c r="D3865" s="10"/>
      <c r="E3865" s="11"/>
      <c r="F3865" s="11"/>
      <c r="G3865" s="10"/>
    </row>
    <row r="3866" spans="2:7" ht="12" outlineLevel="4" x14ac:dyDescent="0.2">
      <c r="B3866" s="12"/>
      <c r="C3866" s="37" t="s">
        <v>7345</v>
      </c>
      <c r="D3866" s="12"/>
      <c r="E3866" s="13"/>
      <c r="F3866" s="13"/>
      <c r="G3866" s="12"/>
    </row>
    <row r="3867" spans="2:7" ht="11.25" outlineLevel="5" x14ac:dyDescent="0.2">
      <c r="B3867" s="14" t="s">
        <v>7346</v>
      </c>
      <c r="C3867" s="14" t="s">
        <v>7347</v>
      </c>
      <c r="D3867" s="14">
        <v>25</v>
      </c>
      <c r="E3867" s="15">
        <v>47.65</v>
      </c>
      <c r="F3867" s="16" t="s">
        <v>8</v>
      </c>
      <c r="G3867" s="38" t="str">
        <f>HYPERLINK("http://enext.ua/s1035002")</f>
        <v>http://enext.ua/s1035002</v>
      </c>
    </row>
    <row r="3868" spans="2:7" ht="11.25" outlineLevel="5" x14ac:dyDescent="0.2">
      <c r="B3868" s="14" t="s">
        <v>7348</v>
      </c>
      <c r="C3868" s="14" t="s">
        <v>7349</v>
      </c>
      <c r="D3868" s="14">
        <v>10</v>
      </c>
      <c r="E3868" s="15">
        <v>86.01</v>
      </c>
      <c r="F3868" s="16" t="s">
        <v>8</v>
      </c>
      <c r="G3868" s="38" t="str">
        <f>HYPERLINK("http://enext.ua/s1035004")</f>
        <v>http://enext.ua/s1035004</v>
      </c>
    </row>
    <row r="3869" spans="2:7" ht="11.25" outlineLevel="5" x14ac:dyDescent="0.2">
      <c r="B3869" s="14" t="s">
        <v>7350</v>
      </c>
      <c r="C3869" s="14" t="s">
        <v>7351</v>
      </c>
      <c r="D3869" s="14">
        <v>5</v>
      </c>
      <c r="E3869" s="15">
        <v>265.29000000000002</v>
      </c>
      <c r="F3869" s="16" t="s">
        <v>8</v>
      </c>
      <c r="G3869" s="38" t="str">
        <f>HYPERLINK("http://enext.ua/s1035007")</f>
        <v>http://enext.ua/s1035007</v>
      </c>
    </row>
    <row r="3870" spans="2:7" ht="12" outlineLevel="4" x14ac:dyDescent="0.2">
      <c r="B3870" s="12"/>
      <c r="C3870" s="37" t="s">
        <v>7352</v>
      </c>
      <c r="D3870" s="12"/>
      <c r="E3870" s="13"/>
      <c r="F3870" s="13"/>
      <c r="G3870" s="12"/>
    </row>
    <row r="3871" spans="2:7" ht="11.25" outlineLevel="5" x14ac:dyDescent="0.2">
      <c r="B3871" s="14" t="s">
        <v>7353</v>
      </c>
      <c r="C3871" s="14" t="s">
        <v>7354</v>
      </c>
      <c r="D3871" s="14">
        <v>1</v>
      </c>
      <c r="E3871" s="15">
        <v>35.450000000000003</v>
      </c>
      <c r="F3871" s="16" t="s">
        <v>8</v>
      </c>
      <c r="G3871" s="14"/>
    </row>
    <row r="3872" spans="2:7" ht="11.25" outlineLevel="5" x14ac:dyDescent="0.2">
      <c r="B3872" s="14" t="s">
        <v>7355</v>
      </c>
      <c r="C3872" s="14" t="s">
        <v>7356</v>
      </c>
      <c r="D3872" s="14">
        <v>10</v>
      </c>
      <c r="E3872" s="15">
        <v>87.75</v>
      </c>
      <c r="F3872" s="16" t="s">
        <v>8</v>
      </c>
      <c r="G3872" s="38" t="str">
        <f>HYPERLINK("http://enext.ua/s14035004")</f>
        <v>http://enext.ua/s14035004</v>
      </c>
    </row>
    <row r="3873" spans="2:7" ht="12" outlineLevel="4" x14ac:dyDescent="0.2">
      <c r="B3873" s="12"/>
      <c r="C3873" s="37" t="s">
        <v>7357</v>
      </c>
      <c r="D3873" s="12"/>
      <c r="E3873" s="13"/>
      <c r="F3873" s="13"/>
      <c r="G3873" s="12"/>
    </row>
    <row r="3874" spans="2:7" ht="11.25" outlineLevel="5" x14ac:dyDescent="0.2">
      <c r="B3874" s="14" t="s">
        <v>7358</v>
      </c>
      <c r="C3874" s="14" t="s">
        <v>7359</v>
      </c>
      <c r="D3874" s="14">
        <v>1</v>
      </c>
      <c r="E3874" s="15">
        <v>35.450000000000003</v>
      </c>
      <c r="F3874" s="16" t="s">
        <v>8</v>
      </c>
      <c r="G3874" s="38" t="str">
        <f>HYPERLINK("http://enext.ua/s1035102")</f>
        <v>http://enext.ua/s1035102</v>
      </c>
    </row>
    <row r="3875" spans="2:7" ht="11.25" outlineLevel="5" x14ac:dyDescent="0.2">
      <c r="B3875" s="14" t="s">
        <v>7360</v>
      </c>
      <c r="C3875" s="14" t="s">
        <v>7361</v>
      </c>
      <c r="D3875" s="14">
        <v>1</v>
      </c>
      <c r="E3875" s="15">
        <v>82.52</v>
      </c>
      <c r="F3875" s="16" t="s">
        <v>8</v>
      </c>
      <c r="G3875" s="38" t="str">
        <f>HYPERLINK("http://enext.ua/s1035104")</f>
        <v>http://enext.ua/s1035104</v>
      </c>
    </row>
    <row r="3876" spans="2:7" ht="12" outlineLevel="4" x14ac:dyDescent="0.2">
      <c r="B3876" s="12"/>
      <c r="C3876" s="37" t="s">
        <v>7362</v>
      </c>
      <c r="D3876" s="12"/>
      <c r="E3876" s="13"/>
      <c r="F3876" s="13"/>
      <c r="G3876" s="12"/>
    </row>
    <row r="3877" spans="2:7" ht="11.25" outlineLevel="5" x14ac:dyDescent="0.2">
      <c r="B3877" s="14" t="s">
        <v>7363</v>
      </c>
      <c r="C3877" s="14" t="s">
        <v>7364</v>
      </c>
      <c r="D3877" s="14">
        <v>1</v>
      </c>
      <c r="E3877" s="15">
        <v>36.03</v>
      </c>
      <c r="F3877" s="16" t="s">
        <v>8</v>
      </c>
      <c r="G3877" s="14"/>
    </row>
    <row r="3878" spans="2:7" ht="11.25" outlineLevel="5" x14ac:dyDescent="0.2">
      <c r="B3878" s="14" t="s">
        <v>7365</v>
      </c>
      <c r="C3878" s="14" t="s">
        <v>7366</v>
      </c>
      <c r="D3878" s="14">
        <v>1</v>
      </c>
      <c r="E3878" s="15">
        <v>78.45</v>
      </c>
      <c r="F3878" s="16" t="s">
        <v>8</v>
      </c>
      <c r="G3878" s="14"/>
    </row>
    <row r="3879" spans="2:7" ht="11.25" outlineLevel="5" x14ac:dyDescent="0.2">
      <c r="B3879" s="14" t="s">
        <v>7367</v>
      </c>
      <c r="C3879" s="14" t="s">
        <v>7368</v>
      </c>
      <c r="D3879" s="14">
        <v>1</v>
      </c>
      <c r="E3879" s="15">
        <v>45.33</v>
      </c>
      <c r="F3879" s="16" t="s">
        <v>8</v>
      </c>
      <c r="G3879" s="14"/>
    </row>
    <row r="3880" spans="2:7" ht="11.25" outlineLevel="5" x14ac:dyDescent="0.2">
      <c r="B3880" s="14" t="s">
        <v>7369</v>
      </c>
      <c r="C3880" s="14" t="s">
        <v>7370</v>
      </c>
      <c r="D3880" s="14">
        <v>1</v>
      </c>
      <c r="E3880" s="15">
        <v>62.76</v>
      </c>
      <c r="F3880" s="16" t="s">
        <v>8</v>
      </c>
      <c r="G3880" s="14"/>
    </row>
    <row r="3881" spans="2:7" ht="11.25" outlineLevel="5" x14ac:dyDescent="0.2">
      <c r="B3881" s="14" t="s">
        <v>7371</v>
      </c>
      <c r="C3881" s="14" t="s">
        <v>7372</v>
      </c>
      <c r="D3881" s="14">
        <v>1</v>
      </c>
      <c r="E3881" s="15">
        <v>4.25</v>
      </c>
      <c r="F3881" s="16" t="s">
        <v>8</v>
      </c>
      <c r="G3881" s="14"/>
    </row>
    <row r="3882" spans="2:7" ht="11.25" outlineLevel="5" x14ac:dyDescent="0.2">
      <c r="B3882" s="14" t="s">
        <v>7373</v>
      </c>
      <c r="C3882" s="14" t="s">
        <v>7374</v>
      </c>
      <c r="D3882" s="14">
        <v>1</v>
      </c>
      <c r="E3882" s="15">
        <v>7.27</v>
      </c>
      <c r="F3882" s="16" t="s">
        <v>8</v>
      </c>
      <c r="G3882" s="14"/>
    </row>
    <row r="3883" spans="2:7" ht="11.25" outlineLevel="5" x14ac:dyDescent="0.2">
      <c r="B3883" s="14" t="s">
        <v>7375</v>
      </c>
      <c r="C3883" s="14" t="s">
        <v>7376</v>
      </c>
      <c r="D3883" s="14">
        <v>1</v>
      </c>
      <c r="E3883" s="15">
        <v>7.42</v>
      </c>
      <c r="F3883" s="16" t="s">
        <v>8</v>
      </c>
      <c r="G3883" s="14"/>
    </row>
    <row r="3884" spans="2:7" ht="11.25" outlineLevel="5" x14ac:dyDescent="0.2">
      <c r="B3884" s="14" t="s">
        <v>7377</v>
      </c>
      <c r="C3884" s="14" t="s">
        <v>7378</v>
      </c>
      <c r="D3884" s="14">
        <v>1</v>
      </c>
      <c r="E3884" s="15">
        <v>6.97</v>
      </c>
      <c r="F3884" s="16" t="s">
        <v>8</v>
      </c>
      <c r="G3884" s="14"/>
    </row>
    <row r="3885" spans="2:7" ht="11.25" outlineLevel="5" x14ac:dyDescent="0.2">
      <c r="B3885" s="14" t="s">
        <v>7379</v>
      </c>
      <c r="C3885" s="14" t="s">
        <v>7380</v>
      </c>
      <c r="D3885" s="14">
        <v>1</v>
      </c>
      <c r="E3885" s="15">
        <v>9.59</v>
      </c>
      <c r="F3885" s="16" t="s">
        <v>8</v>
      </c>
      <c r="G3885" s="14"/>
    </row>
    <row r="3886" spans="2:7" ht="11.25" outlineLevel="5" x14ac:dyDescent="0.2">
      <c r="B3886" s="14" t="s">
        <v>7381</v>
      </c>
      <c r="C3886" s="14" t="s">
        <v>7382</v>
      </c>
      <c r="D3886" s="14">
        <v>1</v>
      </c>
      <c r="E3886" s="15">
        <v>13.66</v>
      </c>
      <c r="F3886" s="16" t="s">
        <v>8</v>
      </c>
      <c r="G3886" s="14"/>
    </row>
    <row r="3887" spans="2:7" ht="11.25" outlineLevel="5" x14ac:dyDescent="0.2">
      <c r="B3887" s="14" t="s">
        <v>7383</v>
      </c>
      <c r="C3887" s="14" t="s">
        <v>7384</v>
      </c>
      <c r="D3887" s="14">
        <v>1</v>
      </c>
      <c r="E3887" s="15">
        <v>2.62</v>
      </c>
      <c r="F3887" s="16" t="s">
        <v>8</v>
      </c>
      <c r="G3887" s="14"/>
    </row>
    <row r="3888" spans="2:7" ht="11.25" outlineLevel="5" x14ac:dyDescent="0.2">
      <c r="B3888" s="14" t="s">
        <v>7385</v>
      </c>
      <c r="C3888" s="14" t="s">
        <v>7386</v>
      </c>
      <c r="D3888" s="14">
        <v>1</v>
      </c>
      <c r="E3888" s="15">
        <v>2.62</v>
      </c>
      <c r="F3888" s="16" t="s">
        <v>8</v>
      </c>
      <c r="G3888" s="14"/>
    </row>
    <row r="3889" spans="2:7" ht="11.25" outlineLevel="5" x14ac:dyDescent="0.2">
      <c r="B3889" s="14" t="s">
        <v>7387</v>
      </c>
      <c r="C3889" s="14" t="s">
        <v>7388</v>
      </c>
      <c r="D3889" s="14">
        <v>1</v>
      </c>
      <c r="E3889" s="15">
        <v>3.2</v>
      </c>
      <c r="F3889" s="16" t="s">
        <v>8</v>
      </c>
      <c r="G3889" s="14"/>
    </row>
    <row r="3890" spans="2:7" ht="11.25" outlineLevel="5" x14ac:dyDescent="0.2">
      <c r="B3890" s="14" t="s">
        <v>7389</v>
      </c>
      <c r="C3890" s="14" t="s">
        <v>7390</v>
      </c>
      <c r="D3890" s="14">
        <v>1</v>
      </c>
      <c r="E3890" s="15">
        <v>15.41</v>
      </c>
      <c r="F3890" s="16" t="s">
        <v>8</v>
      </c>
      <c r="G3890" s="14"/>
    </row>
    <row r="3891" spans="2:7" ht="11.25" outlineLevel="5" x14ac:dyDescent="0.2">
      <c r="B3891" s="14" t="s">
        <v>7391</v>
      </c>
      <c r="C3891" s="14" t="s">
        <v>7392</v>
      </c>
      <c r="D3891" s="14">
        <v>1</v>
      </c>
      <c r="E3891" s="15">
        <v>20.52</v>
      </c>
      <c r="F3891" s="16" t="s">
        <v>8</v>
      </c>
      <c r="G3891" s="14"/>
    </row>
    <row r="3892" spans="2:7" ht="11.25" outlineLevel="5" x14ac:dyDescent="0.2">
      <c r="B3892" s="14" t="s">
        <v>7393</v>
      </c>
      <c r="C3892" s="14" t="s">
        <v>7394</v>
      </c>
      <c r="D3892" s="14">
        <v>1</v>
      </c>
      <c r="E3892" s="15">
        <v>22.66</v>
      </c>
      <c r="F3892" s="16" t="s">
        <v>8</v>
      </c>
      <c r="G3892" s="14"/>
    </row>
    <row r="3893" spans="2:7" ht="11.25" outlineLevel="5" x14ac:dyDescent="0.2">
      <c r="B3893" s="14" t="s">
        <v>7395</v>
      </c>
      <c r="C3893" s="14" t="s">
        <v>7396</v>
      </c>
      <c r="D3893" s="14">
        <v>1</v>
      </c>
      <c r="E3893" s="15">
        <v>19.75</v>
      </c>
      <c r="F3893" s="16" t="s">
        <v>8</v>
      </c>
      <c r="G3893" s="14"/>
    </row>
    <row r="3894" spans="2:7" ht="11.25" outlineLevel="5" x14ac:dyDescent="0.2">
      <c r="B3894" s="14" t="s">
        <v>7397</v>
      </c>
      <c r="C3894" s="14" t="s">
        <v>7398</v>
      </c>
      <c r="D3894" s="14">
        <v>1</v>
      </c>
      <c r="E3894" s="15">
        <v>22.85</v>
      </c>
      <c r="F3894" s="16" t="s">
        <v>8</v>
      </c>
      <c r="G3894" s="14"/>
    </row>
    <row r="3895" spans="2:7" ht="11.25" outlineLevel="5" x14ac:dyDescent="0.2">
      <c r="B3895" s="14" t="s">
        <v>7399</v>
      </c>
      <c r="C3895" s="14" t="s">
        <v>7400</v>
      </c>
      <c r="D3895" s="14">
        <v>100</v>
      </c>
      <c r="E3895" s="15">
        <v>24.7</v>
      </c>
      <c r="F3895" s="16" t="s">
        <v>8</v>
      </c>
      <c r="G3895" s="14"/>
    </row>
    <row r="3896" spans="2:7" ht="12" outlineLevel="3" x14ac:dyDescent="0.2">
      <c r="B3896" s="10"/>
      <c r="C3896" s="36" t="s">
        <v>7401</v>
      </c>
      <c r="D3896" s="10"/>
      <c r="E3896" s="11"/>
      <c r="F3896" s="11"/>
      <c r="G3896" s="10"/>
    </row>
    <row r="3897" spans="2:7" ht="11.25" outlineLevel="4" x14ac:dyDescent="0.2">
      <c r="B3897" s="14" t="s">
        <v>7402</v>
      </c>
      <c r="C3897" s="14" t="s">
        <v>7403</v>
      </c>
      <c r="D3897" s="14">
        <v>1</v>
      </c>
      <c r="E3897" s="15">
        <v>19.45</v>
      </c>
      <c r="F3897" s="16" t="s">
        <v>4214</v>
      </c>
      <c r="G3897" s="38" t="str">
        <f>HYPERLINK("http://enext.ua/CS30010")</f>
        <v>http://enext.ua/CS30010</v>
      </c>
    </row>
    <row r="3898" spans="2:7" ht="11.25" outlineLevel="4" x14ac:dyDescent="0.2">
      <c r="B3898" s="14" t="s">
        <v>7404</v>
      </c>
      <c r="C3898" s="14" t="s">
        <v>7405</v>
      </c>
      <c r="D3898" s="14">
        <v>1</v>
      </c>
      <c r="E3898" s="15">
        <v>20.49</v>
      </c>
      <c r="F3898" s="16" t="s">
        <v>4214</v>
      </c>
      <c r="G3898" s="38" t="str">
        <f>HYPERLINK("http://enext.ua/CS30012")</f>
        <v>http://enext.ua/CS30012</v>
      </c>
    </row>
    <row r="3899" spans="2:7" ht="11.25" outlineLevel="4" x14ac:dyDescent="0.2">
      <c r="B3899" s="14" t="s">
        <v>7406</v>
      </c>
      <c r="C3899" s="14" t="s">
        <v>7407</v>
      </c>
      <c r="D3899" s="14">
        <v>1</v>
      </c>
      <c r="E3899" s="15">
        <v>21.45</v>
      </c>
      <c r="F3899" s="16" t="s">
        <v>4214</v>
      </c>
      <c r="G3899" s="38" t="str">
        <f>HYPERLINK("http://enext.ua/CS30014")</f>
        <v>http://enext.ua/CS30014</v>
      </c>
    </row>
    <row r="3900" spans="2:7" ht="11.25" outlineLevel="4" x14ac:dyDescent="0.2">
      <c r="B3900" s="14" t="s">
        <v>7408</v>
      </c>
      <c r="C3900" s="14" t="s">
        <v>7409</v>
      </c>
      <c r="D3900" s="14">
        <v>1</v>
      </c>
      <c r="E3900" s="15">
        <v>25.35</v>
      </c>
      <c r="F3900" s="16" t="s">
        <v>4214</v>
      </c>
      <c r="G3900" s="38" t="str">
        <f>HYPERLINK("http://enext.ua/CS30016")</f>
        <v>http://enext.ua/CS30016</v>
      </c>
    </row>
    <row r="3901" spans="2:7" ht="11.25" outlineLevel="4" x14ac:dyDescent="0.2">
      <c r="B3901" s="14" t="s">
        <v>7410</v>
      </c>
      <c r="C3901" s="14" t="s">
        <v>7411</v>
      </c>
      <c r="D3901" s="14">
        <v>1</v>
      </c>
      <c r="E3901" s="15">
        <v>38.04</v>
      </c>
      <c r="F3901" s="16" t="s">
        <v>4214</v>
      </c>
      <c r="G3901" s="38" t="str">
        <f>HYPERLINK("http://enext.ua/CS30020")</f>
        <v>http://enext.ua/CS30020</v>
      </c>
    </row>
    <row r="3902" spans="2:7" ht="11.25" outlineLevel="4" x14ac:dyDescent="0.2">
      <c r="B3902" s="14" t="s">
        <v>7412</v>
      </c>
      <c r="C3902" s="14" t="s">
        <v>7413</v>
      </c>
      <c r="D3902" s="14">
        <v>1</v>
      </c>
      <c r="E3902" s="15">
        <v>43.02</v>
      </c>
      <c r="F3902" s="16" t="s">
        <v>4214</v>
      </c>
      <c r="G3902" s="38" t="str">
        <f>HYPERLINK("http://enext.ua/CS30022")</f>
        <v>http://enext.ua/CS30022</v>
      </c>
    </row>
    <row r="3903" spans="2:7" ht="11.25" outlineLevel="4" x14ac:dyDescent="0.2">
      <c r="B3903" s="14" t="s">
        <v>7414</v>
      </c>
      <c r="C3903" s="14" t="s">
        <v>7415</v>
      </c>
      <c r="D3903" s="14">
        <v>1</v>
      </c>
      <c r="E3903" s="15">
        <v>45.05</v>
      </c>
      <c r="F3903" s="16" t="s">
        <v>4214</v>
      </c>
      <c r="G3903" s="38" t="str">
        <f>HYPERLINK("http://enext.ua/CS30025")</f>
        <v>http://enext.ua/CS30025</v>
      </c>
    </row>
    <row r="3904" spans="2:7" ht="11.25" outlineLevel="4" x14ac:dyDescent="0.2">
      <c r="B3904" s="14" t="s">
        <v>7416</v>
      </c>
      <c r="C3904" s="14" t="s">
        <v>7417</v>
      </c>
      <c r="D3904" s="14">
        <v>1</v>
      </c>
      <c r="E3904" s="15">
        <v>63.47</v>
      </c>
      <c r="F3904" s="16" t="s">
        <v>4214</v>
      </c>
      <c r="G3904" s="38" t="str">
        <f>HYPERLINK("http://enext.ua/CS30030")</f>
        <v>http://enext.ua/CS30030</v>
      </c>
    </row>
    <row r="3905" spans="2:7" ht="11.25" outlineLevel="4" x14ac:dyDescent="0.2">
      <c r="B3905" s="14" t="s">
        <v>7418</v>
      </c>
      <c r="C3905" s="14" t="s">
        <v>7419</v>
      </c>
      <c r="D3905" s="14">
        <v>1</v>
      </c>
      <c r="E3905" s="15">
        <v>67.58</v>
      </c>
      <c r="F3905" s="16" t="s">
        <v>4214</v>
      </c>
      <c r="G3905" s="38" t="str">
        <f>HYPERLINK("http://enext.ua/CS30032")</f>
        <v>http://enext.ua/CS30032</v>
      </c>
    </row>
    <row r="3906" spans="2:7" ht="11.25" outlineLevel="4" x14ac:dyDescent="0.2">
      <c r="B3906" s="14" t="s">
        <v>7420</v>
      </c>
      <c r="C3906" s="14" t="s">
        <v>7421</v>
      </c>
      <c r="D3906" s="14">
        <v>1</v>
      </c>
      <c r="E3906" s="15">
        <v>83.96</v>
      </c>
      <c r="F3906" s="16" t="s">
        <v>4214</v>
      </c>
      <c r="G3906" s="38" t="str">
        <f>HYPERLINK("http://enext.ua/CS30038")</f>
        <v>http://enext.ua/CS30038</v>
      </c>
    </row>
    <row r="3907" spans="2:7" ht="12" outlineLevel="3" x14ac:dyDescent="0.2">
      <c r="B3907" s="10"/>
      <c r="C3907" s="36" t="s">
        <v>7422</v>
      </c>
      <c r="D3907" s="10"/>
      <c r="E3907" s="11"/>
      <c r="F3907" s="11"/>
      <c r="G3907" s="10"/>
    </row>
    <row r="3908" spans="2:7" ht="12" outlineLevel="4" x14ac:dyDescent="0.2">
      <c r="B3908" s="12"/>
      <c r="C3908" s="37" t="s">
        <v>7423</v>
      </c>
      <c r="D3908" s="12"/>
      <c r="E3908" s="13"/>
      <c r="F3908" s="13"/>
      <c r="G3908" s="12"/>
    </row>
    <row r="3909" spans="2:7" ht="11.25" outlineLevel="5" x14ac:dyDescent="0.2">
      <c r="B3909" s="14" t="s">
        <v>7424</v>
      </c>
      <c r="C3909" s="14" t="s">
        <v>7425</v>
      </c>
      <c r="D3909" s="14">
        <v>1</v>
      </c>
      <c r="E3909" s="15">
        <v>74.180000000000007</v>
      </c>
      <c r="F3909" s="16" t="s">
        <v>4092</v>
      </c>
      <c r="G3909" s="38" t="str">
        <f>HYPERLINK("http://enext.ua/s028054")</f>
        <v>http://enext.ua/s028054</v>
      </c>
    </row>
    <row r="3910" spans="2:7" ht="11.25" outlineLevel="5" x14ac:dyDescent="0.2">
      <c r="B3910" s="14" t="s">
        <v>7426</v>
      </c>
      <c r="C3910" s="14" t="s">
        <v>7427</v>
      </c>
      <c r="D3910" s="14">
        <v>1</v>
      </c>
      <c r="E3910" s="15">
        <v>50.18</v>
      </c>
      <c r="F3910" s="16" t="s">
        <v>4092</v>
      </c>
      <c r="G3910" s="38" t="str">
        <f>HYPERLINK("http://enext.ua/s028155")</f>
        <v>http://enext.ua/s028155</v>
      </c>
    </row>
    <row r="3911" spans="2:7" ht="11.25" outlineLevel="5" x14ac:dyDescent="0.2">
      <c r="B3911" s="14" t="s">
        <v>7428</v>
      </c>
      <c r="C3911" s="14" t="s">
        <v>7429</v>
      </c>
      <c r="D3911" s="14">
        <v>1</v>
      </c>
      <c r="E3911" s="15">
        <v>100.36</v>
      </c>
      <c r="F3911" s="16" t="s">
        <v>4092</v>
      </c>
      <c r="G3911" s="38" t="str">
        <f>HYPERLINK("http://enext.ua/s028055")</f>
        <v>http://enext.ua/s028055</v>
      </c>
    </row>
    <row r="3912" spans="2:7" ht="11.25" outlineLevel="5" x14ac:dyDescent="0.2">
      <c r="B3912" s="14" t="s">
        <v>7430</v>
      </c>
      <c r="C3912" s="14" t="s">
        <v>7431</v>
      </c>
      <c r="D3912" s="14">
        <v>1</v>
      </c>
      <c r="E3912" s="15">
        <v>68.180000000000007</v>
      </c>
      <c r="F3912" s="16" t="s">
        <v>4092</v>
      </c>
      <c r="G3912" s="38" t="str">
        <f>HYPERLINK("http://enext.ua/s028156")</f>
        <v>http://enext.ua/s028156</v>
      </c>
    </row>
    <row r="3913" spans="2:7" ht="11.25" outlineLevel="5" x14ac:dyDescent="0.2">
      <c r="B3913" s="14" t="s">
        <v>7432</v>
      </c>
      <c r="C3913" s="14" t="s">
        <v>7433</v>
      </c>
      <c r="D3913" s="14">
        <v>1</v>
      </c>
      <c r="E3913" s="15">
        <v>136.36000000000001</v>
      </c>
      <c r="F3913" s="16" t="s">
        <v>4092</v>
      </c>
      <c r="G3913" s="38" t="str">
        <f>HYPERLINK("http://enext.ua/s028034")</f>
        <v>http://enext.ua/s028034</v>
      </c>
    </row>
    <row r="3914" spans="2:7" ht="11.25" outlineLevel="5" x14ac:dyDescent="0.2">
      <c r="B3914" s="14" t="s">
        <v>7434</v>
      </c>
      <c r="C3914" s="14" t="s">
        <v>7435</v>
      </c>
      <c r="D3914" s="14">
        <v>1</v>
      </c>
      <c r="E3914" s="15">
        <v>83.27</v>
      </c>
      <c r="F3914" s="16" t="s">
        <v>4092</v>
      </c>
      <c r="G3914" s="38" t="str">
        <f>HYPERLINK("http://enext.ua/s028056")</f>
        <v>http://enext.ua/s028056</v>
      </c>
    </row>
    <row r="3915" spans="2:7" ht="11.25" outlineLevel="5" x14ac:dyDescent="0.2">
      <c r="B3915" s="14" t="s">
        <v>7436</v>
      </c>
      <c r="C3915" s="14" t="s">
        <v>7437</v>
      </c>
      <c r="D3915" s="14">
        <v>1</v>
      </c>
      <c r="E3915" s="15">
        <v>138.18</v>
      </c>
      <c r="F3915" s="16" t="s">
        <v>4092</v>
      </c>
      <c r="G3915" s="38" t="str">
        <f>HYPERLINK("http://enext.ua/s028035")</f>
        <v>http://enext.ua/s028035</v>
      </c>
    </row>
    <row r="3916" spans="2:7" ht="11.25" outlineLevel="5" x14ac:dyDescent="0.2">
      <c r="B3916" s="14" t="s">
        <v>7438</v>
      </c>
      <c r="C3916" s="14" t="s">
        <v>7439</v>
      </c>
      <c r="D3916" s="14">
        <v>1</v>
      </c>
      <c r="E3916" s="15">
        <v>94.25</v>
      </c>
      <c r="F3916" s="16" t="s">
        <v>4092</v>
      </c>
      <c r="G3916" s="38" t="str">
        <f>HYPERLINK("http://enext.ua/s028057")</f>
        <v>http://enext.ua/s028057</v>
      </c>
    </row>
    <row r="3917" spans="2:7" ht="11.25" outlineLevel="5" x14ac:dyDescent="0.2">
      <c r="B3917" s="14" t="s">
        <v>7440</v>
      </c>
      <c r="C3917" s="14" t="s">
        <v>7441</v>
      </c>
      <c r="D3917" s="14">
        <v>1</v>
      </c>
      <c r="E3917" s="15">
        <v>104.73</v>
      </c>
      <c r="F3917" s="16" t="s">
        <v>4092</v>
      </c>
      <c r="G3917" s="38" t="str">
        <f>HYPERLINK("http://enext.ua/s028058")</f>
        <v>http://enext.ua/s028058</v>
      </c>
    </row>
    <row r="3918" spans="2:7" ht="12" outlineLevel="4" x14ac:dyDescent="0.2">
      <c r="B3918" s="12"/>
      <c r="C3918" s="37" t="s">
        <v>7442</v>
      </c>
      <c r="D3918" s="12"/>
      <c r="E3918" s="13"/>
      <c r="F3918" s="13"/>
      <c r="G3918" s="12"/>
    </row>
    <row r="3919" spans="2:7" ht="11.25" outlineLevel="5" x14ac:dyDescent="0.2">
      <c r="B3919" s="14" t="s">
        <v>7443</v>
      </c>
      <c r="C3919" s="14" t="s">
        <v>7444</v>
      </c>
      <c r="D3919" s="14">
        <v>100</v>
      </c>
      <c r="E3919" s="15">
        <v>4.6500000000000004</v>
      </c>
      <c r="F3919" s="16" t="s">
        <v>8</v>
      </c>
      <c r="G3919" s="38" t="str">
        <f>HYPERLINK("http://enext.ua/s9035004")</f>
        <v>http://enext.ua/s9035004</v>
      </c>
    </row>
    <row r="3920" spans="2:7" ht="12" outlineLevel="4" x14ac:dyDescent="0.2">
      <c r="B3920" s="12"/>
      <c r="C3920" s="37" t="s">
        <v>7445</v>
      </c>
      <c r="D3920" s="12"/>
      <c r="E3920" s="13"/>
      <c r="F3920" s="13"/>
      <c r="G3920" s="12"/>
    </row>
    <row r="3921" spans="2:7" ht="11.25" outlineLevel="5" x14ac:dyDescent="0.2">
      <c r="B3921" s="14" t="s">
        <v>7446</v>
      </c>
      <c r="C3921" s="14" t="s">
        <v>7447</v>
      </c>
      <c r="D3921" s="14">
        <v>100</v>
      </c>
      <c r="E3921" s="15">
        <v>3.2</v>
      </c>
      <c r="F3921" s="16" t="s">
        <v>8</v>
      </c>
      <c r="G3921" s="38" t="str">
        <f>HYPERLINK("http://enext.ua/s10035001")</f>
        <v>http://enext.ua/s10035001</v>
      </c>
    </row>
    <row r="3922" spans="2:7" ht="12" outlineLevel="4" x14ac:dyDescent="0.2">
      <c r="B3922" s="12"/>
      <c r="C3922" s="37" t="s">
        <v>7448</v>
      </c>
      <c r="D3922" s="12"/>
      <c r="E3922" s="13"/>
      <c r="F3922" s="13"/>
      <c r="G3922" s="12"/>
    </row>
    <row r="3923" spans="2:7" ht="11.25" outlineLevel="5" x14ac:dyDescent="0.2">
      <c r="B3923" s="14" t="s">
        <v>7449</v>
      </c>
      <c r="C3923" s="14" t="s">
        <v>7450</v>
      </c>
      <c r="D3923" s="14">
        <v>1</v>
      </c>
      <c r="E3923" s="15">
        <v>2.62</v>
      </c>
      <c r="F3923" s="16" t="s">
        <v>8</v>
      </c>
      <c r="G3923" s="38" t="str">
        <f>HYPERLINK("http://enext.ua/s13035005")</f>
        <v>http://enext.ua/s13035005</v>
      </c>
    </row>
    <row r="3924" spans="2:7" ht="11.25" outlineLevel="5" x14ac:dyDescent="0.2">
      <c r="B3924" s="14" t="s">
        <v>7451</v>
      </c>
      <c r="C3924" s="14" t="s">
        <v>7452</v>
      </c>
      <c r="D3924" s="14">
        <v>1</v>
      </c>
      <c r="E3924" s="15">
        <v>2.04</v>
      </c>
      <c r="F3924" s="16" t="s">
        <v>8</v>
      </c>
      <c r="G3924" s="38" t="str">
        <f>HYPERLINK("http://enext.ua/s13035006")</f>
        <v>http://enext.ua/s13035006</v>
      </c>
    </row>
    <row r="3925" spans="2:7" ht="11.25" outlineLevel="5" x14ac:dyDescent="0.2">
      <c r="B3925" s="14" t="s">
        <v>7453</v>
      </c>
      <c r="C3925" s="14" t="s">
        <v>7454</v>
      </c>
      <c r="D3925" s="14">
        <v>1</v>
      </c>
      <c r="E3925" s="15">
        <v>2.62</v>
      </c>
      <c r="F3925" s="16" t="s">
        <v>8</v>
      </c>
      <c r="G3925" s="38" t="str">
        <f>HYPERLINK("http://enext.ua/s13035007")</f>
        <v>http://enext.ua/s13035007</v>
      </c>
    </row>
    <row r="3926" spans="2:7" ht="12" outlineLevel="4" x14ac:dyDescent="0.2">
      <c r="B3926" s="12"/>
      <c r="C3926" s="37" t="s">
        <v>7455</v>
      </c>
      <c r="D3926" s="12"/>
      <c r="E3926" s="13"/>
      <c r="F3926" s="13"/>
      <c r="G3926" s="12"/>
    </row>
    <row r="3927" spans="2:7" ht="11.25" outlineLevel="5" x14ac:dyDescent="0.2">
      <c r="B3927" s="14" t="s">
        <v>7456</v>
      </c>
      <c r="C3927" s="14" t="s">
        <v>7457</v>
      </c>
      <c r="D3927" s="14">
        <v>1</v>
      </c>
      <c r="E3927" s="15">
        <v>32.26</v>
      </c>
      <c r="F3927" s="16" t="s">
        <v>8</v>
      </c>
      <c r="G3927" s="38" t="str">
        <f>HYPERLINK("http://enext.ua/s2035007")</f>
        <v>http://enext.ua/s2035007</v>
      </c>
    </row>
    <row r="3928" spans="2:7" ht="12" outlineLevel="4" x14ac:dyDescent="0.2">
      <c r="B3928" s="12"/>
      <c r="C3928" s="37" t="s">
        <v>7458</v>
      </c>
      <c r="D3928" s="12"/>
      <c r="E3928" s="13"/>
      <c r="F3928" s="13"/>
      <c r="G3928" s="12"/>
    </row>
    <row r="3929" spans="2:7" ht="11.25" outlineLevel="5" x14ac:dyDescent="0.2">
      <c r="B3929" s="14" t="s">
        <v>7459</v>
      </c>
      <c r="C3929" s="14" t="s">
        <v>7460</v>
      </c>
      <c r="D3929" s="14">
        <v>1</v>
      </c>
      <c r="E3929" s="15">
        <v>30.51</v>
      </c>
      <c r="F3929" s="16" t="s">
        <v>8</v>
      </c>
      <c r="G3929" s="38" t="str">
        <f>HYPERLINK("http://enext.ua/s3035006")</f>
        <v>http://enext.ua/s3035006</v>
      </c>
    </row>
    <row r="3930" spans="2:7" ht="12" outlineLevel="4" x14ac:dyDescent="0.2">
      <c r="B3930" s="12"/>
      <c r="C3930" s="37" t="s">
        <v>7461</v>
      </c>
      <c r="D3930" s="12"/>
      <c r="E3930" s="13"/>
      <c r="F3930" s="13"/>
      <c r="G3930" s="12"/>
    </row>
    <row r="3931" spans="2:7" ht="12" outlineLevel="4" x14ac:dyDescent="0.2">
      <c r="B3931" s="12"/>
      <c r="C3931" s="37" t="s">
        <v>7462</v>
      </c>
      <c r="D3931" s="12"/>
      <c r="E3931" s="13"/>
      <c r="F3931" s="13"/>
      <c r="G3931" s="12"/>
    </row>
    <row r="3932" spans="2:7" ht="11.25" outlineLevel="5" x14ac:dyDescent="0.2">
      <c r="B3932" s="14" t="s">
        <v>7463</v>
      </c>
      <c r="C3932" s="14" t="s">
        <v>7464</v>
      </c>
      <c r="D3932" s="14">
        <v>100</v>
      </c>
      <c r="E3932" s="15">
        <v>6.39</v>
      </c>
      <c r="F3932" s="16" t="s">
        <v>8</v>
      </c>
      <c r="G3932" s="38" t="str">
        <f>HYPERLINK("http://enext.ua/s4035002")</f>
        <v>http://enext.ua/s4035002</v>
      </c>
    </row>
    <row r="3933" spans="2:7" ht="11.25" outlineLevel="5" x14ac:dyDescent="0.2">
      <c r="B3933" s="14" t="s">
        <v>7465</v>
      </c>
      <c r="C3933" s="14" t="s">
        <v>7466</v>
      </c>
      <c r="D3933" s="14">
        <v>1</v>
      </c>
      <c r="E3933" s="15">
        <v>11.04</v>
      </c>
      <c r="F3933" s="16" t="s">
        <v>8</v>
      </c>
      <c r="G3933" s="38" t="str">
        <f>HYPERLINK("http://enext.ua/s4035003")</f>
        <v>http://enext.ua/s4035003</v>
      </c>
    </row>
    <row r="3934" spans="2:7" ht="11.25" outlineLevel="5" x14ac:dyDescent="0.2">
      <c r="B3934" s="14" t="s">
        <v>7467</v>
      </c>
      <c r="C3934" s="14" t="s">
        <v>7468</v>
      </c>
      <c r="D3934" s="14">
        <v>1</v>
      </c>
      <c r="E3934" s="15">
        <v>13.66</v>
      </c>
      <c r="F3934" s="16" t="s">
        <v>8</v>
      </c>
      <c r="G3934" s="38" t="str">
        <f>HYPERLINK("http://enext.ua/s4035004")</f>
        <v>http://enext.ua/s4035004</v>
      </c>
    </row>
    <row r="3935" spans="2:7" ht="12" outlineLevel="4" x14ac:dyDescent="0.2">
      <c r="B3935" s="12"/>
      <c r="C3935" s="37" t="s">
        <v>7469</v>
      </c>
      <c r="D3935" s="12"/>
      <c r="E3935" s="13"/>
      <c r="F3935" s="13"/>
      <c r="G3935" s="12"/>
    </row>
    <row r="3936" spans="2:7" ht="11.25" outlineLevel="5" x14ac:dyDescent="0.2">
      <c r="B3936" s="14" t="s">
        <v>7470</v>
      </c>
      <c r="C3936" s="14" t="s">
        <v>7471</v>
      </c>
      <c r="D3936" s="14">
        <v>1</v>
      </c>
      <c r="E3936" s="15">
        <v>4.6500000000000004</v>
      </c>
      <c r="F3936" s="16" t="s">
        <v>8</v>
      </c>
      <c r="G3936" s="38" t="str">
        <f>HYPERLINK("http://enext.ua/s6035002")</f>
        <v>http://enext.ua/s6035002</v>
      </c>
    </row>
    <row r="3937" spans="2:7" ht="11.25" outlineLevel="5" x14ac:dyDescent="0.2">
      <c r="B3937" s="14" t="s">
        <v>7472</v>
      </c>
      <c r="C3937" s="14" t="s">
        <v>7473</v>
      </c>
      <c r="D3937" s="14">
        <v>1</v>
      </c>
      <c r="E3937" s="15">
        <v>8.43</v>
      </c>
      <c r="F3937" s="16" t="s">
        <v>8</v>
      </c>
      <c r="G3937" s="38" t="str">
        <f>HYPERLINK("http://enext.ua/s6035004")</f>
        <v>http://enext.ua/s6035004</v>
      </c>
    </row>
    <row r="3938" spans="2:7" ht="12" outlineLevel="4" x14ac:dyDescent="0.2">
      <c r="B3938" s="12"/>
      <c r="C3938" s="37" t="s">
        <v>7474</v>
      </c>
      <c r="D3938" s="12"/>
      <c r="E3938" s="13"/>
      <c r="F3938" s="13"/>
      <c r="G3938" s="12"/>
    </row>
    <row r="3939" spans="2:7" ht="11.25" outlineLevel="5" x14ac:dyDescent="0.2">
      <c r="B3939" s="14" t="s">
        <v>7475</v>
      </c>
      <c r="C3939" s="14" t="s">
        <v>7476</v>
      </c>
      <c r="D3939" s="14">
        <v>200</v>
      </c>
      <c r="E3939" s="15">
        <v>2.62</v>
      </c>
      <c r="F3939" s="16" t="s">
        <v>8</v>
      </c>
      <c r="G3939" s="38" t="str">
        <f>HYPERLINK("http://enext.ua/s5035001")</f>
        <v>http://enext.ua/s5035001</v>
      </c>
    </row>
    <row r="3940" spans="2:7" ht="11.25" outlineLevel="5" x14ac:dyDescent="0.2">
      <c r="B3940" s="14" t="s">
        <v>7477</v>
      </c>
      <c r="C3940" s="14" t="s">
        <v>7478</v>
      </c>
      <c r="D3940" s="14">
        <v>1</v>
      </c>
      <c r="E3940" s="15">
        <v>5.81</v>
      </c>
      <c r="F3940" s="16" t="s">
        <v>8</v>
      </c>
      <c r="G3940" s="38" t="str">
        <f>HYPERLINK("http://enext.ua/s5035003")</f>
        <v>http://enext.ua/s5035003</v>
      </c>
    </row>
    <row r="3941" spans="2:7" ht="12" outlineLevel="4" x14ac:dyDescent="0.2">
      <c r="B3941" s="12"/>
      <c r="C3941" s="37" t="s">
        <v>7479</v>
      </c>
      <c r="D3941" s="12"/>
      <c r="E3941" s="13"/>
      <c r="F3941" s="13"/>
      <c r="G3941" s="12"/>
    </row>
    <row r="3942" spans="2:7" ht="11.25" outlineLevel="5" x14ac:dyDescent="0.2">
      <c r="B3942" s="14" t="s">
        <v>7480</v>
      </c>
      <c r="C3942" s="14" t="s">
        <v>7481</v>
      </c>
      <c r="D3942" s="14">
        <v>20</v>
      </c>
      <c r="E3942" s="15">
        <v>15.41</v>
      </c>
      <c r="F3942" s="16" t="s">
        <v>8</v>
      </c>
      <c r="G3942" s="38" t="str">
        <f>HYPERLINK("http://enext.ua/s8035001")</f>
        <v>http://enext.ua/s8035001</v>
      </c>
    </row>
    <row r="3943" spans="2:7" ht="12" outlineLevel="4" x14ac:dyDescent="0.2">
      <c r="B3943" s="12"/>
      <c r="C3943" s="37" t="s">
        <v>7482</v>
      </c>
      <c r="D3943" s="12"/>
      <c r="E3943" s="13"/>
      <c r="F3943" s="13"/>
      <c r="G3943" s="12"/>
    </row>
    <row r="3944" spans="2:7" ht="11.25" outlineLevel="5" x14ac:dyDescent="0.2">
      <c r="B3944" s="14" t="s">
        <v>7483</v>
      </c>
      <c r="C3944" s="14" t="s">
        <v>7484</v>
      </c>
      <c r="D3944" s="14">
        <v>1</v>
      </c>
      <c r="E3944" s="15">
        <v>16.27</v>
      </c>
      <c r="F3944" s="16" t="s">
        <v>8</v>
      </c>
      <c r="G3944" s="38" t="str">
        <f>HYPERLINK("http://enext.ua/s7035001")</f>
        <v>http://enext.ua/s7035001</v>
      </c>
    </row>
    <row r="3945" spans="2:7" ht="11.25" outlineLevel="5" x14ac:dyDescent="0.2">
      <c r="B3945" s="14" t="s">
        <v>7485</v>
      </c>
      <c r="C3945" s="14" t="s">
        <v>7486</v>
      </c>
      <c r="D3945" s="14">
        <v>1</v>
      </c>
      <c r="E3945" s="15">
        <v>13.66</v>
      </c>
      <c r="F3945" s="16" t="s">
        <v>8</v>
      </c>
      <c r="G3945" s="38" t="str">
        <f>HYPERLINK("http://enext.ua/s7035002")</f>
        <v>http://enext.ua/s7035002</v>
      </c>
    </row>
    <row r="3946" spans="2:7" ht="11.25" outlineLevel="5" x14ac:dyDescent="0.2">
      <c r="B3946" s="14" t="s">
        <v>7487</v>
      </c>
      <c r="C3946" s="14" t="s">
        <v>7488</v>
      </c>
      <c r="D3946" s="14">
        <v>20</v>
      </c>
      <c r="E3946" s="15">
        <v>15.99</v>
      </c>
      <c r="F3946" s="16" t="s">
        <v>8</v>
      </c>
      <c r="G3946" s="38" t="str">
        <f>HYPERLINK("http://enext.ua/s7035003")</f>
        <v>http://enext.ua/s7035003</v>
      </c>
    </row>
    <row r="3947" spans="2:7" ht="11.25" outlineLevel="5" x14ac:dyDescent="0.2">
      <c r="B3947" s="14" t="s">
        <v>7489</v>
      </c>
      <c r="C3947" s="14" t="s">
        <v>7490</v>
      </c>
      <c r="D3947" s="14">
        <v>1</v>
      </c>
      <c r="E3947" s="15">
        <v>16.850000000000001</v>
      </c>
      <c r="F3947" s="16" t="s">
        <v>8</v>
      </c>
      <c r="G3947" s="38" t="str">
        <f>HYPERLINK("http://enext.ua/s7035004")</f>
        <v>http://enext.ua/s7035004</v>
      </c>
    </row>
    <row r="3948" spans="2:7" ht="11.25" outlineLevel="5" x14ac:dyDescent="0.2">
      <c r="B3948" s="14" t="s">
        <v>7491</v>
      </c>
      <c r="C3948" s="14" t="s">
        <v>7492</v>
      </c>
      <c r="D3948" s="14">
        <v>1</v>
      </c>
      <c r="E3948" s="15">
        <v>14.82</v>
      </c>
      <c r="F3948" s="16" t="s">
        <v>8</v>
      </c>
      <c r="G3948" s="38" t="str">
        <f>HYPERLINK("http://enext.ua/s7035005")</f>
        <v>http://enext.ua/s7035005</v>
      </c>
    </row>
    <row r="3949" spans="2:7" ht="11.25" outlineLevel="5" x14ac:dyDescent="0.2">
      <c r="B3949" s="14" t="s">
        <v>7493</v>
      </c>
      <c r="C3949" s="14" t="s">
        <v>7494</v>
      </c>
      <c r="D3949" s="14">
        <v>1</v>
      </c>
      <c r="E3949" s="15">
        <v>16.27</v>
      </c>
      <c r="F3949" s="16" t="s">
        <v>8</v>
      </c>
      <c r="G3949" s="38" t="str">
        <f>HYPERLINK("http://enext.ua/s7035006")</f>
        <v>http://enext.ua/s7035006</v>
      </c>
    </row>
    <row r="3950" spans="2:7" ht="11.25" outlineLevel="5" x14ac:dyDescent="0.2">
      <c r="B3950" s="14" t="s">
        <v>7495</v>
      </c>
      <c r="C3950" s="14" t="s">
        <v>7496</v>
      </c>
      <c r="D3950" s="14">
        <v>1</v>
      </c>
      <c r="E3950" s="15">
        <v>5.23</v>
      </c>
      <c r="F3950" s="16" t="s">
        <v>8</v>
      </c>
      <c r="G3950" s="38" t="str">
        <f>HYPERLINK("http://enext.ua/s7035007")</f>
        <v>http://enext.ua/s7035007</v>
      </c>
    </row>
    <row r="3951" spans="2:7" ht="12" outlineLevel="4" x14ac:dyDescent="0.2">
      <c r="B3951" s="12"/>
      <c r="C3951" s="37" t="s">
        <v>7497</v>
      </c>
      <c r="D3951" s="12"/>
      <c r="E3951" s="13"/>
      <c r="F3951" s="13"/>
      <c r="G3951" s="12"/>
    </row>
    <row r="3952" spans="2:7" ht="11.25" outlineLevel="5" x14ac:dyDescent="0.2">
      <c r="B3952" s="14" t="s">
        <v>7498</v>
      </c>
      <c r="C3952" s="14" t="s">
        <v>7499</v>
      </c>
      <c r="D3952" s="14">
        <v>1</v>
      </c>
      <c r="E3952" s="15">
        <v>37.49</v>
      </c>
      <c r="F3952" s="16" t="s">
        <v>8</v>
      </c>
      <c r="G3952" s="38" t="str">
        <f>HYPERLINK("http://enext.ua/s11035001")</f>
        <v>http://enext.ua/s11035001</v>
      </c>
    </row>
    <row r="3953" spans="2:7" ht="11.25" outlineLevel="5" x14ac:dyDescent="0.2">
      <c r="B3953" s="14" t="s">
        <v>7500</v>
      </c>
      <c r="C3953" s="14" t="s">
        <v>7501</v>
      </c>
      <c r="D3953" s="14">
        <v>1</v>
      </c>
      <c r="E3953" s="15">
        <v>90.37</v>
      </c>
      <c r="F3953" s="16" t="s">
        <v>8</v>
      </c>
      <c r="G3953" s="38" t="str">
        <f>HYPERLINK("http://enext.ua/s11035003")</f>
        <v>http://enext.ua/s11035003</v>
      </c>
    </row>
    <row r="3954" spans="2:7" ht="12" outlineLevel="2" x14ac:dyDescent="0.2">
      <c r="B3954" s="8"/>
      <c r="C3954" s="35" t="s">
        <v>7502</v>
      </c>
      <c r="D3954" s="8"/>
      <c r="E3954" s="9"/>
      <c r="F3954" s="9"/>
      <c r="G3954" s="8"/>
    </row>
    <row r="3955" spans="2:7" ht="12" outlineLevel="3" x14ac:dyDescent="0.2">
      <c r="B3955" s="10"/>
      <c r="C3955" s="36" t="s">
        <v>7503</v>
      </c>
      <c r="D3955" s="10"/>
      <c r="E3955" s="11"/>
      <c r="F3955" s="11"/>
      <c r="G3955" s="10"/>
    </row>
    <row r="3956" spans="2:7" ht="11.25" outlineLevel="4" x14ac:dyDescent="0.2">
      <c r="B3956" s="14" t="s">
        <v>7504</v>
      </c>
      <c r="C3956" s="14" t="s">
        <v>7505</v>
      </c>
      <c r="D3956" s="14">
        <v>1</v>
      </c>
      <c r="E3956" s="15">
        <v>30.82</v>
      </c>
      <c r="F3956" s="16" t="s">
        <v>4214</v>
      </c>
      <c r="G3956" s="14"/>
    </row>
    <row r="3957" spans="2:7" ht="11.25" outlineLevel="4" x14ac:dyDescent="0.2">
      <c r="B3957" s="14" t="s">
        <v>7506</v>
      </c>
      <c r="C3957" s="14" t="s">
        <v>7507</v>
      </c>
      <c r="D3957" s="14">
        <v>1</v>
      </c>
      <c r="E3957" s="15">
        <v>17</v>
      </c>
      <c r="F3957" s="16" t="s">
        <v>4214</v>
      </c>
      <c r="G3957" s="38" t="str">
        <f>HYPERLINK("http://enext.ua/s028101")</f>
        <v>http://enext.ua/s028101</v>
      </c>
    </row>
    <row r="3958" spans="2:7" ht="11.25" outlineLevel="4" x14ac:dyDescent="0.2">
      <c r="B3958" s="14" t="s">
        <v>7508</v>
      </c>
      <c r="C3958" s="14" t="s">
        <v>7509</v>
      </c>
      <c r="D3958" s="14">
        <v>1</v>
      </c>
      <c r="E3958" s="15">
        <v>24.47</v>
      </c>
      <c r="F3958" s="16" t="s">
        <v>4214</v>
      </c>
      <c r="G3958" s="38" t="str">
        <f>HYPERLINK("http://enext.ua/s028102")</f>
        <v>http://enext.ua/s028102</v>
      </c>
    </row>
    <row r="3959" spans="2:7" ht="11.25" outlineLevel="4" x14ac:dyDescent="0.2">
      <c r="B3959" s="14" t="s">
        <v>7510</v>
      </c>
      <c r="C3959" s="14" t="s">
        <v>7511</v>
      </c>
      <c r="D3959" s="14">
        <v>1</v>
      </c>
      <c r="E3959" s="15">
        <v>30.82</v>
      </c>
      <c r="F3959" s="16" t="s">
        <v>4214</v>
      </c>
      <c r="G3959" s="38" t="str">
        <f>HYPERLINK("http://enext.ua/s028103")</f>
        <v>http://enext.ua/s028103</v>
      </c>
    </row>
    <row r="3960" spans="2:7" ht="11.25" outlineLevel="4" x14ac:dyDescent="0.2">
      <c r="B3960" s="14" t="s">
        <v>7512</v>
      </c>
      <c r="C3960" s="14" t="s">
        <v>7513</v>
      </c>
      <c r="D3960" s="14">
        <v>1</v>
      </c>
      <c r="E3960" s="15">
        <v>36.159999999999997</v>
      </c>
      <c r="F3960" s="16" t="s">
        <v>4214</v>
      </c>
      <c r="G3960" s="38" t="str">
        <f>HYPERLINK("http://enext.ua/s028104")</f>
        <v>http://enext.ua/s028104</v>
      </c>
    </row>
    <row r="3961" spans="2:7" ht="11.25" outlineLevel="4" x14ac:dyDescent="0.2">
      <c r="B3961" s="14" t="s">
        <v>7514</v>
      </c>
      <c r="C3961" s="14" t="s">
        <v>7515</v>
      </c>
      <c r="D3961" s="14">
        <v>1</v>
      </c>
      <c r="E3961" s="15">
        <v>44.36</v>
      </c>
      <c r="F3961" s="16" t="s">
        <v>4214</v>
      </c>
      <c r="G3961" s="38" t="str">
        <f>HYPERLINK("http://enext.ua/s028105")</f>
        <v>http://enext.ua/s028105</v>
      </c>
    </row>
    <row r="3962" spans="2:7" ht="11.25" outlineLevel="4" x14ac:dyDescent="0.2">
      <c r="B3962" s="14" t="s">
        <v>7516</v>
      </c>
      <c r="C3962" s="14" t="s">
        <v>7517</v>
      </c>
      <c r="D3962" s="14">
        <v>1</v>
      </c>
      <c r="E3962" s="15">
        <v>60.35</v>
      </c>
      <c r="F3962" s="16" t="s">
        <v>4214</v>
      </c>
      <c r="G3962" s="38" t="str">
        <f>HYPERLINK("http://enext.ua/s028106")</f>
        <v>http://enext.ua/s028106</v>
      </c>
    </row>
    <row r="3963" spans="2:7" ht="11.25" outlineLevel="4" x14ac:dyDescent="0.2">
      <c r="B3963" s="14" t="s">
        <v>7518</v>
      </c>
      <c r="C3963" s="14" t="s">
        <v>7519</v>
      </c>
      <c r="D3963" s="14">
        <v>1</v>
      </c>
      <c r="E3963" s="15">
        <v>105.67</v>
      </c>
      <c r="F3963" s="16" t="s">
        <v>4214</v>
      </c>
      <c r="G3963" s="38" t="str">
        <f>HYPERLINK("http://enext.ua/s028107")</f>
        <v>http://enext.ua/s028107</v>
      </c>
    </row>
    <row r="3964" spans="2:7" ht="12" outlineLevel="3" x14ac:dyDescent="0.2">
      <c r="B3964" s="10"/>
      <c r="C3964" s="36" t="s">
        <v>7520</v>
      </c>
      <c r="D3964" s="10"/>
      <c r="E3964" s="11"/>
      <c r="F3964" s="11"/>
      <c r="G3964" s="10"/>
    </row>
    <row r="3965" spans="2:7" ht="11.25" outlineLevel="4" x14ac:dyDescent="0.2">
      <c r="B3965" s="14" t="s">
        <v>7521</v>
      </c>
      <c r="C3965" s="14" t="s">
        <v>7522</v>
      </c>
      <c r="D3965" s="14">
        <v>1</v>
      </c>
      <c r="E3965" s="15">
        <v>18.98</v>
      </c>
      <c r="F3965" s="16" t="s">
        <v>4214</v>
      </c>
      <c r="G3965" s="38" t="str">
        <f>HYPERLINK("http://enext.ua/KF09040")</f>
        <v>http://enext.ua/KF09040</v>
      </c>
    </row>
    <row r="3966" spans="2:7" ht="11.25" outlineLevel="4" x14ac:dyDescent="0.2">
      <c r="B3966" s="14" t="s">
        <v>7523</v>
      </c>
      <c r="C3966" s="14" t="s">
        <v>7524</v>
      </c>
      <c r="D3966" s="14">
        <v>1</v>
      </c>
      <c r="E3966" s="15">
        <v>28.55</v>
      </c>
      <c r="F3966" s="16" t="s">
        <v>4214</v>
      </c>
      <c r="G3966" s="38" t="str">
        <f>HYPERLINK("http://enext.ua/KF09050")</f>
        <v>http://enext.ua/KF09050</v>
      </c>
    </row>
    <row r="3967" spans="2:7" ht="11.25" outlineLevel="4" x14ac:dyDescent="0.2">
      <c r="B3967" s="14" t="s">
        <v>7525</v>
      </c>
      <c r="C3967" s="14" t="s">
        <v>7526</v>
      </c>
      <c r="D3967" s="14">
        <v>1</v>
      </c>
      <c r="E3967" s="15">
        <v>36.090000000000003</v>
      </c>
      <c r="F3967" s="16" t="s">
        <v>4214</v>
      </c>
      <c r="G3967" s="14"/>
    </row>
    <row r="3968" spans="2:7" ht="11.25" outlineLevel="4" x14ac:dyDescent="0.2">
      <c r="B3968" s="14" t="s">
        <v>7527</v>
      </c>
      <c r="C3968" s="14" t="s">
        <v>7528</v>
      </c>
      <c r="D3968" s="14">
        <v>1</v>
      </c>
      <c r="E3968" s="15">
        <v>44.22</v>
      </c>
      <c r="F3968" s="16" t="s">
        <v>4214</v>
      </c>
      <c r="G3968" s="38" t="str">
        <f>HYPERLINK("http://enext.ua/KF09075")</f>
        <v>http://enext.ua/KF09075</v>
      </c>
    </row>
    <row r="3969" spans="2:7" ht="11.25" outlineLevel="4" x14ac:dyDescent="0.2">
      <c r="B3969" s="14" t="s">
        <v>7529</v>
      </c>
      <c r="C3969" s="14" t="s">
        <v>7530</v>
      </c>
      <c r="D3969" s="14">
        <v>1</v>
      </c>
      <c r="E3969" s="15">
        <v>50.71</v>
      </c>
      <c r="F3969" s="16" t="s">
        <v>4214</v>
      </c>
      <c r="G3969" s="38" t="str">
        <f>HYPERLINK("http://enext.ua/KF09090")</f>
        <v>http://enext.ua/KF09090</v>
      </c>
    </row>
    <row r="3970" spans="2:7" ht="11.25" outlineLevel="4" x14ac:dyDescent="0.2">
      <c r="B3970" s="14" t="s">
        <v>7531</v>
      </c>
      <c r="C3970" s="14" t="s">
        <v>7532</v>
      </c>
      <c r="D3970" s="14">
        <v>1</v>
      </c>
      <c r="E3970" s="15">
        <v>72.58</v>
      </c>
      <c r="F3970" s="16" t="s">
        <v>4214</v>
      </c>
      <c r="G3970" s="38" t="str">
        <f>HYPERLINK("http://enext.ua/KF09110")</f>
        <v>http://enext.ua/KF09110</v>
      </c>
    </row>
    <row r="3971" spans="2:7" ht="11.25" outlineLevel="4" x14ac:dyDescent="0.2">
      <c r="B3971" s="14" t="s">
        <v>7533</v>
      </c>
      <c r="C3971" s="14" t="s">
        <v>7534</v>
      </c>
      <c r="D3971" s="14">
        <v>1</v>
      </c>
      <c r="E3971" s="15">
        <v>130.85</v>
      </c>
      <c r="F3971" s="16" t="s">
        <v>4214</v>
      </c>
      <c r="G3971" s="38" t="str">
        <f>HYPERLINK("http://enext.ua/KF09160")</f>
        <v>http://enext.ua/KF09160</v>
      </c>
    </row>
    <row r="3972" spans="2:7" ht="12" outlineLevel="3" x14ac:dyDescent="0.2">
      <c r="B3972" s="10"/>
      <c r="C3972" s="36" t="s">
        <v>7535</v>
      </c>
      <c r="D3972" s="10"/>
      <c r="E3972" s="11"/>
      <c r="F3972" s="11"/>
      <c r="G3972" s="10"/>
    </row>
    <row r="3973" spans="2:7" ht="11.25" outlineLevel="4" x14ac:dyDescent="0.2">
      <c r="B3973" s="14" t="s">
        <v>7536</v>
      </c>
      <c r="C3973" s="14" t="s">
        <v>7537</v>
      </c>
      <c r="D3973" s="14">
        <v>1</v>
      </c>
      <c r="E3973" s="15">
        <v>57.55</v>
      </c>
      <c r="F3973" s="16" t="s">
        <v>8</v>
      </c>
      <c r="G3973" s="38" t="str">
        <f>HYPERLINK("http://enext.ua/001132р")</f>
        <v>http://enext.ua/001132р</v>
      </c>
    </row>
    <row r="3974" spans="2:7" ht="11.25" outlineLevel="4" x14ac:dyDescent="0.2">
      <c r="B3974" s="14" t="s">
        <v>7538</v>
      </c>
      <c r="C3974" s="14" t="s">
        <v>7539</v>
      </c>
      <c r="D3974" s="14">
        <v>1</v>
      </c>
      <c r="E3974" s="15">
        <v>68</v>
      </c>
      <c r="F3974" s="16" t="s">
        <v>8</v>
      </c>
      <c r="G3974" s="38" t="str">
        <f>HYPERLINK("http://enext.ua/001142р")</f>
        <v>http://enext.ua/001142р</v>
      </c>
    </row>
    <row r="3975" spans="2:7" ht="11.25" outlineLevel="4" x14ac:dyDescent="0.2">
      <c r="B3975" s="14" t="s">
        <v>7540</v>
      </c>
      <c r="C3975" s="14" t="s">
        <v>7541</v>
      </c>
      <c r="D3975" s="14">
        <v>1</v>
      </c>
      <c r="E3975" s="15">
        <v>94.14</v>
      </c>
      <c r="F3975" s="16" t="s">
        <v>8</v>
      </c>
      <c r="G3975" s="38" t="str">
        <f>HYPERLINK("http://enext.ua/001152р")</f>
        <v>http://enext.ua/001152р</v>
      </c>
    </row>
    <row r="3976" spans="2:7" ht="11.25" outlineLevel="4" x14ac:dyDescent="0.2">
      <c r="B3976" s="14" t="s">
        <v>7542</v>
      </c>
      <c r="C3976" s="14" t="s">
        <v>7543</v>
      </c>
      <c r="D3976" s="14">
        <v>1</v>
      </c>
      <c r="E3976" s="15">
        <v>208.63</v>
      </c>
      <c r="F3976" s="16" t="s">
        <v>8</v>
      </c>
      <c r="G3976" s="38" t="str">
        <f>HYPERLINK("http://enext.ua/001192р")</f>
        <v>http://enext.ua/001192р</v>
      </c>
    </row>
    <row r="3977" spans="2:7" ht="12" outlineLevel="3" x14ac:dyDescent="0.2">
      <c r="B3977" s="10"/>
      <c r="C3977" s="36" t="s">
        <v>7544</v>
      </c>
      <c r="D3977" s="10"/>
      <c r="E3977" s="11"/>
      <c r="F3977" s="11"/>
      <c r="G3977" s="10"/>
    </row>
    <row r="3978" spans="2:7" ht="22.5" outlineLevel="4" x14ac:dyDescent="0.2">
      <c r="B3978" s="14" t="s">
        <v>7545</v>
      </c>
      <c r="C3978" s="14" t="s">
        <v>7546</v>
      </c>
      <c r="D3978" s="14">
        <v>1</v>
      </c>
      <c r="E3978" s="15">
        <v>309.16000000000003</v>
      </c>
      <c r="F3978" s="16" t="s">
        <v>8</v>
      </c>
      <c r="G3978" s="38" t="str">
        <f>HYPERLINK("http://enext.ua/CP202020")</f>
        <v>http://enext.ua/CP202020</v>
      </c>
    </row>
    <row r="3979" spans="2:7" ht="22.5" outlineLevel="4" x14ac:dyDescent="0.2">
      <c r="B3979" s="14" t="s">
        <v>7547</v>
      </c>
      <c r="C3979" s="14" t="s">
        <v>7548</v>
      </c>
      <c r="D3979" s="14">
        <v>1</v>
      </c>
      <c r="E3979" s="15">
        <v>869.09</v>
      </c>
      <c r="F3979" s="16" t="s">
        <v>8</v>
      </c>
      <c r="G3979" s="38" t="str">
        <f>HYPERLINK("http://enext.ua/CP303032")</f>
        <v>http://enext.ua/CP303032</v>
      </c>
    </row>
    <row r="3980" spans="2:7" ht="22.5" outlineLevel="4" x14ac:dyDescent="0.2">
      <c r="B3980" s="14" t="s">
        <v>7549</v>
      </c>
      <c r="C3980" s="14" t="s">
        <v>7550</v>
      </c>
      <c r="D3980" s="14">
        <v>1</v>
      </c>
      <c r="E3980" s="15">
        <v>715.37</v>
      </c>
      <c r="F3980" s="16" t="s">
        <v>8</v>
      </c>
      <c r="G3980" s="38" t="str">
        <f>HYPERLINK("http://enext.ua/CP303030")</f>
        <v>http://enext.ua/CP303030</v>
      </c>
    </row>
    <row r="3981" spans="2:7" ht="22.5" outlineLevel="4" x14ac:dyDescent="0.2">
      <c r="B3981" s="14" t="s">
        <v>7551</v>
      </c>
      <c r="C3981" s="14" t="s">
        <v>7552</v>
      </c>
      <c r="D3981" s="14">
        <v>1</v>
      </c>
      <c r="E3981" s="17">
        <v>1419.13</v>
      </c>
      <c r="F3981" s="16" t="s">
        <v>8</v>
      </c>
      <c r="G3981" s="38" t="str">
        <f>HYPERLINK("http://enext.ua/CP404040")</f>
        <v>http://enext.ua/CP404040</v>
      </c>
    </row>
    <row r="3982" spans="2:7" ht="22.5" outlineLevel="4" x14ac:dyDescent="0.2">
      <c r="B3982" s="14" t="s">
        <v>7553</v>
      </c>
      <c r="C3982" s="14" t="s">
        <v>7554</v>
      </c>
      <c r="D3982" s="14">
        <v>1</v>
      </c>
      <c r="E3982" s="17">
        <v>4247.49</v>
      </c>
      <c r="F3982" s="16" t="s">
        <v>8</v>
      </c>
      <c r="G3982" s="38" t="str">
        <f>HYPERLINK("http://enext.ua/CP555550")</f>
        <v>http://enext.ua/CP555550</v>
      </c>
    </row>
    <row r="3983" spans="2:7" ht="12" outlineLevel="3" x14ac:dyDescent="0.2">
      <c r="B3983" s="10"/>
      <c r="C3983" s="36" t="s">
        <v>7555</v>
      </c>
      <c r="D3983" s="10"/>
      <c r="E3983" s="11"/>
      <c r="F3983" s="11"/>
      <c r="G3983" s="10"/>
    </row>
    <row r="3984" spans="2:7" ht="11.25" outlineLevel="4" x14ac:dyDescent="0.2">
      <c r="B3984" s="14" t="s">
        <v>7556</v>
      </c>
      <c r="C3984" s="14" t="s">
        <v>7557</v>
      </c>
      <c r="D3984" s="14">
        <v>1</v>
      </c>
      <c r="E3984" s="15">
        <v>80.06</v>
      </c>
      <c r="F3984" s="16" t="s">
        <v>4214</v>
      </c>
      <c r="G3984" s="38" t="str">
        <f>HYPERLINK("http://enext.ua/60900014")</f>
        <v>http://enext.ua/60900014</v>
      </c>
    </row>
    <row r="3985" spans="2:7" ht="12" outlineLevel="3" x14ac:dyDescent="0.2">
      <c r="B3985" s="10"/>
      <c r="C3985" s="36" t="s">
        <v>7558</v>
      </c>
      <c r="D3985" s="10"/>
      <c r="E3985" s="11"/>
      <c r="F3985" s="11"/>
      <c r="G3985" s="10"/>
    </row>
    <row r="3986" spans="2:7" ht="11.25" outlineLevel="4" x14ac:dyDescent="0.2">
      <c r="B3986" s="14" t="s">
        <v>7559</v>
      </c>
      <c r="C3986" s="14" t="s">
        <v>7560</v>
      </c>
      <c r="D3986" s="14">
        <v>1</v>
      </c>
      <c r="E3986" s="15">
        <v>54.92</v>
      </c>
      <c r="F3986" s="16" t="s">
        <v>8</v>
      </c>
      <c r="G3986" s="38" t="str">
        <f>HYPERLINK("http://enext.ua/cws001003")</f>
        <v>http://enext.ua/cws001003</v>
      </c>
    </row>
    <row r="3987" spans="2:7" ht="11.25" outlineLevel="4" x14ac:dyDescent="0.2">
      <c r="B3987" s="14" t="s">
        <v>7561</v>
      </c>
      <c r="C3987" s="14" t="s">
        <v>7562</v>
      </c>
      <c r="D3987" s="14">
        <v>1</v>
      </c>
      <c r="E3987" s="15">
        <v>64.510000000000005</v>
      </c>
      <c r="F3987" s="16" t="s">
        <v>8</v>
      </c>
      <c r="G3987" s="38" t="str">
        <f>HYPERLINK("http://enext.ua/cws001004")</f>
        <v>http://enext.ua/cws001004</v>
      </c>
    </row>
    <row r="3988" spans="2:7" ht="12" outlineLevel="2" x14ac:dyDescent="0.2">
      <c r="B3988" s="8"/>
      <c r="C3988" s="35" t="s">
        <v>7563</v>
      </c>
      <c r="D3988" s="8"/>
      <c r="E3988" s="9"/>
      <c r="F3988" s="9"/>
      <c r="G3988" s="8"/>
    </row>
    <row r="3989" spans="2:7" ht="12" outlineLevel="3" x14ac:dyDescent="0.2">
      <c r="B3989" s="10"/>
      <c r="C3989" s="36" t="s">
        <v>7564</v>
      </c>
      <c r="D3989" s="10"/>
      <c r="E3989" s="11"/>
      <c r="F3989" s="11"/>
      <c r="G3989" s="10"/>
    </row>
    <row r="3990" spans="2:7" ht="11.25" outlineLevel="4" x14ac:dyDescent="0.2">
      <c r="B3990" s="14" t="s">
        <v>7565</v>
      </c>
      <c r="C3990" s="14" t="s">
        <v>7566</v>
      </c>
      <c r="D3990" s="14">
        <v>100</v>
      </c>
      <c r="E3990" s="15">
        <v>16.5</v>
      </c>
      <c r="F3990" s="16" t="s">
        <v>4214</v>
      </c>
      <c r="G3990" s="38" t="str">
        <f>HYPERLINK("http://enext.ua/s032048")</f>
        <v>http://enext.ua/s032048</v>
      </c>
    </row>
    <row r="3991" spans="2:7" ht="11.25" outlineLevel="4" x14ac:dyDescent="0.2">
      <c r="B3991" s="14" t="s">
        <v>7567</v>
      </c>
      <c r="C3991" s="14" t="s">
        <v>7568</v>
      </c>
      <c r="D3991" s="14">
        <v>1</v>
      </c>
      <c r="E3991" s="15">
        <v>15.95</v>
      </c>
      <c r="F3991" s="16" t="s">
        <v>4214</v>
      </c>
      <c r="G3991" s="38" t="str">
        <f>HYPERLINK("http://enext.ua/s032017")</f>
        <v>http://enext.ua/s032017</v>
      </c>
    </row>
    <row r="3992" spans="2:7" ht="11.25" outlineLevel="4" x14ac:dyDescent="0.2">
      <c r="B3992" s="14" t="s">
        <v>7569</v>
      </c>
      <c r="C3992" s="14" t="s">
        <v>7570</v>
      </c>
      <c r="D3992" s="14">
        <v>1</v>
      </c>
      <c r="E3992" s="15">
        <v>14.58</v>
      </c>
      <c r="F3992" s="16" t="s">
        <v>4214</v>
      </c>
      <c r="G3992" s="38" t="str">
        <f>HYPERLINK("http://enext.ua/s032019")</f>
        <v>http://enext.ua/s032019</v>
      </c>
    </row>
    <row r="3993" spans="2:7" ht="11.25" outlineLevel="4" x14ac:dyDescent="0.2">
      <c r="B3993" s="14" t="s">
        <v>7571</v>
      </c>
      <c r="C3993" s="14" t="s">
        <v>7572</v>
      </c>
      <c r="D3993" s="14">
        <v>1</v>
      </c>
      <c r="E3993" s="15">
        <v>16.47</v>
      </c>
      <c r="F3993" s="16" t="s">
        <v>4214</v>
      </c>
      <c r="G3993" s="38" t="str">
        <f>HYPERLINK("http://enext.ua/s032020")</f>
        <v>http://enext.ua/s032020</v>
      </c>
    </row>
    <row r="3994" spans="2:7" ht="11.25" outlineLevel="4" x14ac:dyDescent="0.2">
      <c r="B3994" s="14" t="s">
        <v>7573</v>
      </c>
      <c r="C3994" s="14" t="s">
        <v>7574</v>
      </c>
      <c r="D3994" s="14">
        <v>1</v>
      </c>
      <c r="E3994" s="15">
        <v>23.86</v>
      </c>
      <c r="F3994" s="16" t="s">
        <v>4214</v>
      </c>
      <c r="G3994" s="38" t="str">
        <f>HYPERLINK("http://enext.ua/s032021")</f>
        <v>http://enext.ua/s032021</v>
      </c>
    </row>
    <row r="3995" spans="2:7" ht="11.25" outlineLevel="4" x14ac:dyDescent="0.2">
      <c r="B3995" s="14" t="s">
        <v>7575</v>
      </c>
      <c r="C3995" s="14" t="s">
        <v>7576</v>
      </c>
      <c r="D3995" s="14">
        <v>1</v>
      </c>
      <c r="E3995" s="15">
        <v>30.28</v>
      </c>
      <c r="F3995" s="16" t="s">
        <v>4214</v>
      </c>
      <c r="G3995" s="38" t="str">
        <f>HYPERLINK("http://enext.ua/s032022")</f>
        <v>http://enext.ua/s032022</v>
      </c>
    </row>
    <row r="3996" spans="2:7" ht="11.25" outlineLevel="4" x14ac:dyDescent="0.2">
      <c r="B3996" s="14" t="s">
        <v>7577</v>
      </c>
      <c r="C3996" s="14" t="s">
        <v>7578</v>
      </c>
      <c r="D3996" s="14">
        <v>1</v>
      </c>
      <c r="E3996" s="15">
        <v>34.1</v>
      </c>
      <c r="F3996" s="16" t="s">
        <v>4214</v>
      </c>
      <c r="G3996" s="38" t="str">
        <f>HYPERLINK("http://enext.ua/s032023")</f>
        <v>http://enext.ua/s032023</v>
      </c>
    </row>
    <row r="3997" spans="2:7" ht="11.25" outlineLevel="4" x14ac:dyDescent="0.2">
      <c r="B3997" s="14" t="s">
        <v>7579</v>
      </c>
      <c r="C3997" s="14" t="s">
        <v>7580</v>
      </c>
      <c r="D3997" s="14">
        <v>1</v>
      </c>
      <c r="E3997" s="15">
        <v>56.38</v>
      </c>
      <c r="F3997" s="16" t="s">
        <v>4214</v>
      </c>
      <c r="G3997" s="38" t="str">
        <f>HYPERLINK("http://enext.ua/s032024")</f>
        <v>http://enext.ua/s032024</v>
      </c>
    </row>
    <row r="3998" spans="2:7" ht="11.25" outlineLevel="4" x14ac:dyDescent="0.2">
      <c r="B3998" s="14" t="s">
        <v>7581</v>
      </c>
      <c r="C3998" s="14" t="s">
        <v>7582</v>
      </c>
      <c r="D3998" s="14">
        <v>1</v>
      </c>
      <c r="E3998" s="15">
        <v>62.98</v>
      </c>
      <c r="F3998" s="16" t="s">
        <v>4214</v>
      </c>
      <c r="G3998" s="38" t="str">
        <f>HYPERLINK("http://enext.ua/s032025")</f>
        <v>http://enext.ua/s032025</v>
      </c>
    </row>
    <row r="3999" spans="2:7" ht="11.25" outlineLevel="4" x14ac:dyDescent="0.2">
      <c r="B3999" s="14" t="s">
        <v>7583</v>
      </c>
      <c r="C3999" s="14" t="s">
        <v>7584</v>
      </c>
      <c r="D3999" s="14">
        <v>1</v>
      </c>
      <c r="E3999" s="15">
        <v>86.08</v>
      </c>
      <c r="F3999" s="16" t="s">
        <v>4214</v>
      </c>
      <c r="G3999" s="38" t="str">
        <f>HYPERLINK("http://enext.ua/s032026")</f>
        <v>http://enext.ua/s032026</v>
      </c>
    </row>
    <row r="4000" spans="2:7" ht="11.25" outlineLevel="4" x14ac:dyDescent="0.2">
      <c r="B4000" s="14" t="s">
        <v>7585</v>
      </c>
      <c r="C4000" s="14" t="s">
        <v>7586</v>
      </c>
      <c r="D4000" s="14">
        <v>1</v>
      </c>
      <c r="E4000" s="15">
        <v>213.94</v>
      </c>
      <c r="F4000" s="16" t="s">
        <v>4214</v>
      </c>
      <c r="G4000" s="38" t="str">
        <f>HYPERLINK("http://enext.ua/s032044")</f>
        <v>http://enext.ua/s032044</v>
      </c>
    </row>
    <row r="4001" spans="2:7" ht="11.25" outlineLevel="4" x14ac:dyDescent="0.2">
      <c r="B4001" s="14" t="s">
        <v>7587</v>
      </c>
      <c r="C4001" s="14" t="s">
        <v>7588</v>
      </c>
      <c r="D4001" s="14">
        <v>1</v>
      </c>
      <c r="E4001" s="15">
        <v>335.59</v>
      </c>
      <c r="F4001" s="16" t="s">
        <v>4214</v>
      </c>
      <c r="G4001" s="38" t="str">
        <f>HYPERLINK("http://enext.ua/s032045")</f>
        <v>http://enext.ua/s032045</v>
      </c>
    </row>
    <row r="4002" spans="2:7" ht="12" outlineLevel="3" x14ac:dyDescent="0.2">
      <c r="B4002" s="10"/>
      <c r="C4002" s="36" t="s">
        <v>7589</v>
      </c>
      <c r="D4002" s="10"/>
      <c r="E4002" s="11"/>
      <c r="F4002" s="11"/>
      <c r="G4002" s="10"/>
    </row>
    <row r="4003" spans="2:7" ht="11.25" outlineLevel="4" x14ac:dyDescent="0.2">
      <c r="B4003" s="14" t="s">
        <v>7590</v>
      </c>
      <c r="C4003" s="14" t="s">
        <v>7591</v>
      </c>
      <c r="D4003" s="14">
        <v>1</v>
      </c>
      <c r="E4003" s="15">
        <v>604.79999999999995</v>
      </c>
      <c r="F4003" s="16" t="s">
        <v>7329</v>
      </c>
      <c r="G4003" s="14"/>
    </row>
    <row r="4004" spans="2:7" ht="11.25" outlineLevel="4" x14ac:dyDescent="0.2">
      <c r="B4004" s="14" t="s">
        <v>7592</v>
      </c>
      <c r="C4004" s="14" t="s">
        <v>7593</v>
      </c>
      <c r="D4004" s="14">
        <v>1</v>
      </c>
      <c r="E4004" s="15">
        <v>302.39999999999998</v>
      </c>
      <c r="F4004" s="16" t="s">
        <v>7329</v>
      </c>
      <c r="G4004" s="14"/>
    </row>
    <row r="4005" spans="2:7" ht="11.25" outlineLevel="4" x14ac:dyDescent="0.2">
      <c r="B4005" s="14" t="s">
        <v>7594</v>
      </c>
      <c r="C4005" s="14" t="s">
        <v>7595</v>
      </c>
      <c r="D4005" s="14">
        <v>1</v>
      </c>
      <c r="E4005" s="15">
        <v>715.18</v>
      </c>
      <c r="F4005" s="16" t="s">
        <v>7329</v>
      </c>
      <c r="G4005" s="14"/>
    </row>
    <row r="4006" spans="2:7" ht="11.25" outlineLevel="4" x14ac:dyDescent="0.2">
      <c r="B4006" s="14" t="s">
        <v>7596</v>
      </c>
      <c r="C4006" s="14" t="s">
        <v>7597</v>
      </c>
      <c r="D4006" s="14">
        <v>1</v>
      </c>
      <c r="E4006" s="15">
        <v>357.62</v>
      </c>
      <c r="F4006" s="16" t="s">
        <v>7329</v>
      </c>
      <c r="G4006" s="14"/>
    </row>
    <row r="4007" spans="2:7" ht="11.25" outlineLevel="4" x14ac:dyDescent="0.2">
      <c r="B4007" s="14" t="s">
        <v>7598</v>
      </c>
      <c r="C4007" s="14" t="s">
        <v>7599</v>
      </c>
      <c r="D4007" s="14">
        <v>1</v>
      </c>
      <c r="E4007" s="15">
        <v>914.4</v>
      </c>
      <c r="F4007" s="16" t="s">
        <v>7329</v>
      </c>
      <c r="G4007" s="14"/>
    </row>
    <row r="4008" spans="2:7" ht="11.25" outlineLevel="4" x14ac:dyDescent="0.2">
      <c r="B4008" s="14" t="s">
        <v>7600</v>
      </c>
      <c r="C4008" s="14" t="s">
        <v>7601</v>
      </c>
      <c r="D4008" s="14">
        <v>1</v>
      </c>
      <c r="E4008" s="15">
        <v>457.2</v>
      </c>
      <c r="F4008" s="16" t="s">
        <v>7329</v>
      </c>
      <c r="G4008" s="14"/>
    </row>
    <row r="4009" spans="2:7" ht="11.25" outlineLevel="4" x14ac:dyDescent="0.2">
      <c r="B4009" s="14" t="s">
        <v>7602</v>
      </c>
      <c r="C4009" s="14" t="s">
        <v>7603</v>
      </c>
      <c r="D4009" s="14">
        <v>1</v>
      </c>
      <c r="E4009" s="17">
        <v>1056.02</v>
      </c>
      <c r="F4009" s="16" t="s">
        <v>7329</v>
      </c>
      <c r="G4009" s="14"/>
    </row>
    <row r="4010" spans="2:7" ht="11.25" outlineLevel="4" x14ac:dyDescent="0.2">
      <c r="B4010" s="14" t="s">
        <v>7604</v>
      </c>
      <c r="C4010" s="14" t="s">
        <v>7605</v>
      </c>
      <c r="D4010" s="14">
        <v>1</v>
      </c>
      <c r="E4010" s="15">
        <v>527.98</v>
      </c>
      <c r="F4010" s="16" t="s">
        <v>7329</v>
      </c>
      <c r="G4010" s="14"/>
    </row>
    <row r="4011" spans="2:7" ht="11.25" outlineLevel="4" x14ac:dyDescent="0.2">
      <c r="B4011" s="14" t="s">
        <v>7606</v>
      </c>
      <c r="C4011" s="14" t="s">
        <v>7607</v>
      </c>
      <c r="D4011" s="14">
        <v>1</v>
      </c>
      <c r="E4011" s="17">
        <v>1128</v>
      </c>
      <c r="F4011" s="16" t="s">
        <v>7329</v>
      </c>
      <c r="G4011" s="14"/>
    </row>
    <row r="4012" spans="2:7" ht="11.25" outlineLevel="4" x14ac:dyDescent="0.2">
      <c r="B4012" s="14" t="s">
        <v>7608</v>
      </c>
      <c r="C4012" s="14" t="s">
        <v>7609</v>
      </c>
      <c r="D4012" s="14">
        <v>1</v>
      </c>
      <c r="E4012" s="15">
        <v>564</v>
      </c>
      <c r="F4012" s="16" t="s">
        <v>7329</v>
      </c>
      <c r="G4012" s="14"/>
    </row>
    <row r="4013" spans="2:7" ht="11.25" outlineLevel="4" x14ac:dyDescent="0.2">
      <c r="B4013" s="14" t="s">
        <v>7610</v>
      </c>
      <c r="C4013" s="14" t="s">
        <v>7611</v>
      </c>
      <c r="D4013" s="14">
        <v>1</v>
      </c>
      <c r="E4013" s="15">
        <v>688.8</v>
      </c>
      <c r="F4013" s="16" t="s">
        <v>7329</v>
      </c>
      <c r="G4013" s="14"/>
    </row>
    <row r="4014" spans="2:7" ht="12" outlineLevel="3" x14ac:dyDescent="0.2">
      <c r="B4014" s="10"/>
      <c r="C4014" s="36" t="s">
        <v>7612</v>
      </c>
      <c r="D4014" s="10"/>
      <c r="E4014" s="11"/>
      <c r="F4014" s="11"/>
      <c r="G4014" s="10"/>
    </row>
    <row r="4015" spans="2:7" ht="11.25" outlineLevel="4" x14ac:dyDescent="0.2">
      <c r="B4015" s="14" t="s">
        <v>7613</v>
      </c>
      <c r="C4015" s="14" t="s">
        <v>7614</v>
      </c>
      <c r="D4015" s="14">
        <v>1</v>
      </c>
      <c r="E4015" s="15">
        <v>220.12</v>
      </c>
      <c r="F4015" s="16" t="s">
        <v>7329</v>
      </c>
      <c r="G4015" s="14"/>
    </row>
    <row r="4016" spans="2:7" ht="11.25" outlineLevel="4" x14ac:dyDescent="0.2">
      <c r="B4016" s="14" t="s">
        <v>7615</v>
      </c>
      <c r="C4016" s="14" t="s">
        <v>7616</v>
      </c>
      <c r="D4016" s="14">
        <v>1</v>
      </c>
      <c r="E4016" s="15">
        <v>670.91</v>
      </c>
      <c r="F4016" s="16" t="s">
        <v>7329</v>
      </c>
      <c r="G4016" s="14"/>
    </row>
    <row r="4017" spans="2:7" ht="12" outlineLevel="3" x14ac:dyDescent="0.2">
      <c r="B4017" s="10"/>
      <c r="C4017" s="36" t="s">
        <v>7617</v>
      </c>
      <c r="D4017" s="10"/>
      <c r="E4017" s="11"/>
      <c r="F4017" s="11"/>
      <c r="G4017" s="10"/>
    </row>
    <row r="4018" spans="2:7" ht="11.25" outlineLevel="4" x14ac:dyDescent="0.2">
      <c r="B4018" s="14" t="s">
        <v>7618</v>
      </c>
      <c r="C4018" s="14" t="s">
        <v>7619</v>
      </c>
      <c r="D4018" s="14">
        <v>1</v>
      </c>
      <c r="E4018" s="15">
        <v>455.24</v>
      </c>
      <c r="F4018" s="16" t="s">
        <v>7329</v>
      </c>
      <c r="G4018" s="14"/>
    </row>
    <row r="4019" spans="2:7" ht="11.25" outlineLevel="4" x14ac:dyDescent="0.2">
      <c r="B4019" s="14" t="s">
        <v>7620</v>
      </c>
      <c r="C4019" s="14" t="s">
        <v>7621</v>
      </c>
      <c r="D4019" s="14">
        <v>1</v>
      </c>
      <c r="E4019" s="15">
        <v>100.12</v>
      </c>
      <c r="F4019" s="16" t="s">
        <v>7329</v>
      </c>
      <c r="G4019" s="14"/>
    </row>
    <row r="4020" spans="2:7" ht="11.25" outlineLevel="4" x14ac:dyDescent="0.2">
      <c r="B4020" s="14" t="s">
        <v>7622</v>
      </c>
      <c r="C4020" s="14" t="s">
        <v>7623</v>
      </c>
      <c r="D4020" s="14">
        <v>1</v>
      </c>
      <c r="E4020" s="15">
        <v>250.31</v>
      </c>
      <c r="F4020" s="16" t="s">
        <v>7329</v>
      </c>
      <c r="G4020" s="14"/>
    </row>
    <row r="4021" spans="2:7" ht="11.25" outlineLevel="4" x14ac:dyDescent="0.2">
      <c r="B4021" s="14" t="s">
        <v>7624</v>
      </c>
      <c r="C4021" s="14" t="s">
        <v>7625</v>
      </c>
      <c r="D4021" s="14">
        <v>1</v>
      </c>
      <c r="E4021" s="15">
        <v>500.62</v>
      </c>
      <c r="F4021" s="16" t="s">
        <v>7329</v>
      </c>
      <c r="G4021" s="14"/>
    </row>
    <row r="4022" spans="2:7" ht="11.25" outlineLevel="4" x14ac:dyDescent="0.2">
      <c r="B4022" s="14" t="s">
        <v>7626</v>
      </c>
      <c r="C4022" s="14" t="s">
        <v>7627</v>
      </c>
      <c r="D4022" s="14">
        <v>1</v>
      </c>
      <c r="E4022" s="15">
        <v>118.56</v>
      </c>
      <c r="F4022" s="16" t="s">
        <v>7329</v>
      </c>
      <c r="G4022" s="14"/>
    </row>
    <row r="4023" spans="2:7" ht="11.25" outlineLevel="4" x14ac:dyDescent="0.2">
      <c r="B4023" s="14" t="s">
        <v>7628</v>
      </c>
      <c r="C4023" s="14" t="s">
        <v>7629</v>
      </c>
      <c r="D4023" s="14">
        <v>1</v>
      </c>
      <c r="E4023" s="15">
        <v>296.41000000000003</v>
      </c>
      <c r="F4023" s="16" t="s">
        <v>7329</v>
      </c>
      <c r="G4023" s="14"/>
    </row>
    <row r="4024" spans="2:7" ht="11.25" outlineLevel="4" x14ac:dyDescent="0.2">
      <c r="B4024" s="14" t="s">
        <v>7630</v>
      </c>
      <c r="C4024" s="14" t="s">
        <v>7631</v>
      </c>
      <c r="D4024" s="14">
        <v>1</v>
      </c>
      <c r="E4024" s="15">
        <v>592.79999999999995</v>
      </c>
      <c r="F4024" s="16" t="s">
        <v>7329</v>
      </c>
      <c r="G4024" s="14"/>
    </row>
    <row r="4025" spans="2:7" ht="11.25" outlineLevel="4" x14ac:dyDescent="0.2">
      <c r="B4025" s="14" t="s">
        <v>7632</v>
      </c>
      <c r="C4025" s="14" t="s">
        <v>7633</v>
      </c>
      <c r="D4025" s="14">
        <v>1</v>
      </c>
      <c r="E4025" s="15">
        <v>144.08000000000001</v>
      </c>
      <c r="F4025" s="16" t="s">
        <v>7329</v>
      </c>
      <c r="G4025" s="14"/>
    </row>
    <row r="4026" spans="2:7" ht="11.25" outlineLevel="4" x14ac:dyDescent="0.2">
      <c r="B4026" s="14" t="s">
        <v>7634</v>
      </c>
      <c r="C4026" s="14" t="s">
        <v>7635</v>
      </c>
      <c r="D4026" s="14">
        <v>1</v>
      </c>
      <c r="E4026" s="15">
        <v>360.22</v>
      </c>
      <c r="F4026" s="16" t="s">
        <v>7329</v>
      </c>
      <c r="G4026" s="14"/>
    </row>
    <row r="4027" spans="2:7" ht="11.25" outlineLevel="4" x14ac:dyDescent="0.2">
      <c r="B4027" s="14" t="s">
        <v>7636</v>
      </c>
      <c r="C4027" s="14" t="s">
        <v>7637</v>
      </c>
      <c r="D4027" s="14">
        <v>1</v>
      </c>
      <c r="E4027" s="15">
        <v>720.44</v>
      </c>
      <c r="F4027" s="16" t="s">
        <v>7329</v>
      </c>
      <c r="G4027" s="14"/>
    </row>
    <row r="4028" spans="2:7" ht="11.25" outlineLevel="4" x14ac:dyDescent="0.2">
      <c r="B4028" s="14" t="s">
        <v>7638</v>
      </c>
      <c r="C4028" s="14" t="s">
        <v>7639</v>
      </c>
      <c r="D4028" s="14">
        <v>1</v>
      </c>
      <c r="E4028" s="15">
        <v>438.12</v>
      </c>
      <c r="F4028" s="16" t="s">
        <v>7329</v>
      </c>
      <c r="G4028" s="14"/>
    </row>
    <row r="4029" spans="2:7" ht="11.25" outlineLevel="4" x14ac:dyDescent="0.2">
      <c r="B4029" s="14" t="s">
        <v>7640</v>
      </c>
      <c r="C4029" s="14" t="s">
        <v>7641</v>
      </c>
      <c r="D4029" s="14">
        <v>1</v>
      </c>
      <c r="E4029" s="15">
        <v>876.43</v>
      </c>
      <c r="F4029" s="16" t="s">
        <v>7329</v>
      </c>
      <c r="G4029" s="14"/>
    </row>
    <row r="4030" spans="2:7" ht="11.25" outlineLevel="4" x14ac:dyDescent="0.2">
      <c r="B4030" s="14" t="s">
        <v>7642</v>
      </c>
      <c r="C4030" s="14" t="s">
        <v>7643</v>
      </c>
      <c r="D4030" s="14">
        <v>1</v>
      </c>
      <c r="E4030" s="15">
        <v>466.58</v>
      </c>
      <c r="F4030" s="16" t="s">
        <v>7329</v>
      </c>
      <c r="G4030" s="14"/>
    </row>
    <row r="4031" spans="2:7" ht="11.25" outlineLevel="4" x14ac:dyDescent="0.2">
      <c r="B4031" s="14" t="s">
        <v>7644</v>
      </c>
      <c r="C4031" s="14" t="s">
        <v>7645</v>
      </c>
      <c r="D4031" s="14">
        <v>1</v>
      </c>
      <c r="E4031" s="15">
        <v>933.16</v>
      </c>
      <c r="F4031" s="16" t="s">
        <v>7329</v>
      </c>
      <c r="G4031" s="14"/>
    </row>
    <row r="4032" spans="2:7" ht="11.25" outlineLevel="4" x14ac:dyDescent="0.2">
      <c r="B4032" s="14" t="s">
        <v>7646</v>
      </c>
      <c r="C4032" s="14" t="s">
        <v>7647</v>
      </c>
      <c r="D4032" s="14">
        <v>1</v>
      </c>
      <c r="E4032" s="15">
        <v>570.82000000000005</v>
      </c>
      <c r="F4032" s="16" t="s">
        <v>7329</v>
      </c>
      <c r="G4032" s="14"/>
    </row>
    <row r="4033" spans="2:7" ht="12" outlineLevel="3" x14ac:dyDescent="0.2">
      <c r="B4033" s="10"/>
      <c r="C4033" s="36" t="s">
        <v>7648</v>
      </c>
      <c r="D4033" s="10"/>
      <c r="E4033" s="11"/>
      <c r="F4033" s="11"/>
      <c r="G4033" s="10"/>
    </row>
    <row r="4034" spans="2:7" ht="11.25" outlineLevel="4" x14ac:dyDescent="0.2">
      <c r="B4034" s="14" t="s">
        <v>7649</v>
      </c>
      <c r="C4034" s="14" t="s">
        <v>7650</v>
      </c>
      <c r="D4034" s="14">
        <v>1</v>
      </c>
      <c r="E4034" s="15">
        <v>21.05</v>
      </c>
      <c r="F4034" s="16" t="s">
        <v>4214</v>
      </c>
      <c r="G4034" s="38" t="str">
        <f>HYPERLINK("http://enext.ua/s032027")</f>
        <v>http://enext.ua/s032027</v>
      </c>
    </row>
    <row r="4035" spans="2:7" ht="11.25" outlineLevel="4" x14ac:dyDescent="0.2">
      <c r="B4035" s="14" t="s">
        <v>7651</v>
      </c>
      <c r="C4035" s="14" t="s">
        <v>7652</v>
      </c>
      <c r="D4035" s="14">
        <v>1</v>
      </c>
      <c r="E4035" s="15">
        <v>20.440000000000001</v>
      </c>
      <c r="F4035" s="16" t="s">
        <v>4214</v>
      </c>
      <c r="G4035" s="38" t="str">
        <f>HYPERLINK("http://enext.ua/s032028")</f>
        <v>http://enext.ua/s032028</v>
      </c>
    </row>
    <row r="4036" spans="2:7" ht="11.25" outlineLevel="4" x14ac:dyDescent="0.2">
      <c r="B4036" s="14" t="s">
        <v>7653</v>
      </c>
      <c r="C4036" s="14" t="s">
        <v>7654</v>
      </c>
      <c r="D4036" s="14">
        <v>1</v>
      </c>
      <c r="E4036" s="15">
        <v>22.82</v>
      </c>
      <c r="F4036" s="16" t="s">
        <v>4214</v>
      </c>
      <c r="G4036" s="38" t="str">
        <f>HYPERLINK("http://enext.ua/s032029")</f>
        <v>http://enext.ua/s032029</v>
      </c>
    </row>
    <row r="4037" spans="2:7" ht="11.25" outlineLevel="4" x14ac:dyDescent="0.2">
      <c r="B4037" s="14" t="s">
        <v>7655</v>
      </c>
      <c r="C4037" s="14" t="s">
        <v>7656</v>
      </c>
      <c r="D4037" s="14">
        <v>1</v>
      </c>
      <c r="E4037" s="15">
        <v>28.96</v>
      </c>
      <c r="F4037" s="16" t="s">
        <v>4214</v>
      </c>
      <c r="G4037" s="38" t="str">
        <f>HYPERLINK("http://enext.ua/s032030")</f>
        <v>http://enext.ua/s032030</v>
      </c>
    </row>
    <row r="4038" spans="2:7" ht="11.25" outlineLevel="4" x14ac:dyDescent="0.2">
      <c r="B4038" s="14" t="s">
        <v>7657</v>
      </c>
      <c r="C4038" s="14" t="s">
        <v>7658</v>
      </c>
      <c r="D4038" s="14">
        <v>1</v>
      </c>
      <c r="E4038" s="15">
        <v>43.31</v>
      </c>
      <c r="F4038" s="16" t="s">
        <v>4214</v>
      </c>
      <c r="G4038" s="38" t="str">
        <f>HYPERLINK("http://enext.ua/s032031")</f>
        <v>http://enext.ua/s032031</v>
      </c>
    </row>
    <row r="4039" spans="2:7" ht="11.25" outlineLevel="4" x14ac:dyDescent="0.2">
      <c r="B4039" s="14" t="s">
        <v>7659</v>
      </c>
      <c r="C4039" s="14" t="s">
        <v>7660</v>
      </c>
      <c r="D4039" s="14">
        <v>1</v>
      </c>
      <c r="E4039" s="15">
        <v>51.46</v>
      </c>
      <c r="F4039" s="16" t="s">
        <v>4214</v>
      </c>
      <c r="G4039" s="38" t="str">
        <f>HYPERLINK("http://enext.ua/s032032")</f>
        <v>http://enext.ua/s032032</v>
      </c>
    </row>
    <row r="4040" spans="2:7" ht="11.25" outlineLevel="4" x14ac:dyDescent="0.2">
      <c r="B4040" s="14" t="s">
        <v>7661</v>
      </c>
      <c r="C4040" s="14" t="s">
        <v>7662</v>
      </c>
      <c r="D4040" s="14">
        <v>1</v>
      </c>
      <c r="E4040" s="15">
        <v>74.75</v>
      </c>
      <c r="F4040" s="16" t="s">
        <v>4214</v>
      </c>
      <c r="G4040" s="38" t="str">
        <f>HYPERLINK("http://enext.ua/s032033")</f>
        <v>http://enext.ua/s032033</v>
      </c>
    </row>
    <row r="4041" spans="2:7" ht="11.25" outlineLevel="4" x14ac:dyDescent="0.2">
      <c r="B4041" s="14" t="s">
        <v>7663</v>
      </c>
      <c r="C4041" s="14" t="s">
        <v>7664</v>
      </c>
      <c r="D4041" s="14">
        <v>1</v>
      </c>
      <c r="E4041" s="15">
        <v>87.37</v>
      </c>
      <c r="F4041" s="16" t="s">
        <v>4214</v>
      </c>
      <c r="G4041" s="38" t="str">
        <f>HYPERLINK("http://enext.ua/s032034")</f>
        <v>http://enext.ua/s032034</v>
      </c>
    </row>
    <row r="4042" spans="2:7" ht="11.25" outlineLevel="4" x14ac:dyDescent="0.2">
      <c r="B4042" s="14" t="s">
        <v>7665</v>
      </c>
      <c r="C4042" s="14" t="s">
        <v>7666</v>
      </c>
      <c r="D4042" s="14">
        <v>1</v>
      </c>
      <c r="E4042" s="15">
        <v>122.02</v>
      </c>
      <c r="F4042" s="16" t="s">
        <v>4214</v>
      </c>
      <c r="G4042" s="38" t="str">
        <f>HYPERLINK("http://enext.ua/s032035")</f>
        <v>http://enext.ua/s032035</v>
      </c>
    </row>
    <row r="4043" spans="2:7" ht="11.25" outlineLevel="4" x14ac:dyDescent="0.2">
      <c r="B4043" s="14" t="s">
        <v>7667</v>
      </c>
      <c r="C4043" s="14" t="s">
        <v>7668</v>
      </c>
      <c r="D4043" s="14">
        <v>1</v>
      </c>
      <c r="E4043" s="15">
        <v>275.48</v>
      </c>
      <c r="F4043" s="16" t="s">
        <v>4214</v>
      </c>
      <c r="G4043" s="38" t="str">
        <f>HYPERLINK("http://enext.ua/s032046")</f>
        <v>http://enext.ua/s032046</v>
      </c>
    </row>
    <row r="4044" spans="2:7" ht="11.25" outlineLevel="4" x14ac:dyDescent="0.2">
      <c r="B4044" s="14" t="s">
        <v>7669</v>
      </c>
      <c r="C4044" s="14" t="s">
        <v>7670</v>
      </c>
      <c r="D4044" s="14">
        <v>1</v>
      </c>
      <c r="E4044" s="15">
        <v>376.04</v>
      </c>
      <c r="F4044" s="16" t="s">
        <v>4214</v>
      </c>
      <c r="G4044" s="38" t="str">
        <f>HYPERLINK("http://enext.ua/s032047")</f>
        <v>http://enext.ua/s032047</v>
      </c>
    </row>
    <row r="4045" spans="2:7" ht="12" outlineLevel="3" x14ac:dyDescent="0.2">
      <c r="B4045" s="10"/>
      <c r="C4045" s="36" t="s">
        <v>7671</v>
      </c>
      <c r="D4045" s="10"/>
      <c r="E4045" s="11"/>
      <c r="F4045" s="11"/>
      <c r="G4045" s="10"/>
    </row>
    <row r="4046" spans="2:7" ht="11.25" outlineLevel="4" x14ac:dyDescent="0.2">
      <c r="B4046" s="14" t="s">
        <v>7672</v>
      </c>
      <c r="C4046" s="14" t="s">
        <v>7673</v>
      </c>
      <c r="D4046" s="14">
        <v>1</v>
      </c>
      <c r="E4046" s="15">
        <v>85.14</v>
      </c>
      <c r="F4046" s="16" t="s">
        <v>4214</v>
      </c>
      <c r="G4046" s="38" t="str">
        <f>HYPERLINK("http://enext.ua/s049001")</f>
        <v>http://enext.ua/s049001</v>
      </c>
    </row>
    <row r="4047" spans="2:7" ht="11.25" outlineLevel="4" x14ac:dyDescent="0.2">
      <c r="B4047" s="14" t="s">
        <v>7674</v>
      </c>
      <c r="C4047" s="14" t="s">
        <v>7675</v>
      </c>
      <c r="D4047" s="14">
        <v>1</v>
      </c>
      <c r="E4047" s="15">
        <v>92.98</v>
      </c>
      <c r="F4047" s="16" t="s">
        <v>4214</v>
      </c>
      <c r="G4047" s="38" t="str">
        <f>HYPERLINK("http://enext.ua/s049002")</f>
        <v>http://enext.ua/s049002</v>
      </c>
    </row>
    <row r="4048" spans="2:7" ht="11.25" outlineLevel="4" x14ac:dyDescent="0.2">
      <c r="B4048" s="14" t="s">
        <v>7676</v>
      </c>
      <c r="C4048" s="14" t="s">
        <v>7677</v>
      </c>
      <c r="D4048" s="14">
        <v>1</v>
      </c>
      <c r="E4048" s="15">
        <v>118.85</v>
      </c>
      <c r="F4048" s="16" t="s">
        <v>4214</v>
      </c>
      <c r="G4048" s="38" t="str">
        <f>HYPERLINK("http://enext.ua/s049003")</f>
        <v>http://enext.ua/s049003</v>
      </c>
    </row>
    <row r="4049" spans="2:7" ht="11.25" outlineLevel="4" x14ac:dyDescent="0.2">
      <c r="B4049" s="14" t="s">
        <v>7678</v>
      </c>
      <c r="C4049" s="14" t="s">
        <v>7679</v>
      </c>
      <c r="D4049" s="14">
        <v>1</v>
      </c>
      <c r="E4049" s="15">
        <v>188</v>
      </c>
      <c r="F4049" s="16" t="s">
        <v>4214</v>
      </c>
      <c r="G4049" s="38" t="str">
        <f>HYPERLINK("http://enext.ua/s049004")</f>
        <v>http://enext.ua/s049004</v>
      </c>
    </row>
    <row r="4050" spans="2:7" ht="11.25" outlineLevel="4" x14ac:dyDescent="0.2">
      <c r="B4050" s="14" t="s">
        <v>7680</v>
      </c>
      <c r="C4050" s="14" t="s">
        <v>7681</v>
      </c>
      <c r="D4050" s="14">
        <v>1</v>
      </c>
      <c r="E4050" s="15">
        <v>276.33</v>
      </c>
      <c r="F4050" s="16" t="s">
        <v>4214</v>
      </c>
      <c r="G4050" s="38" t="str">
        <f>HYPERLINK("http://enext.ua/s049005")</f>
        <v>http://enext.ua/s049005</v>
      </c>
    </row>
    <row r="4051" spans="2:7" ht="12" outlineLevel="3" x14ac:dyDescent="0.2">
      <c r="B4051" s="10"/>
      <c r="C4051" s="36" t="s">
        <v>7682</v>
      </c>
      <c r="D4051" s="10"/>
      <c r="E4051" s="11"/>
      <c r="F4051" s="11"/>
      <c r="G4051" s="10"/>
    </row>
    <row r="4052" spans="2:7" ht="11.25" outlineLevel="4" x14ac:dyDescent="0.2">
      <c r="B4052" s="14" t="s">
        <v>7683</v>
      </c>
      <c r="C4052" s="14" t="s">
        <v>7684</v>
      </c>
      <c r="D4052" s="14">
        <v>1</v>
      </c>
      <c r="E4052" s="15">
        <v>192.35</v>
      </c>
      <c r="F4052" s="16" t="s">
        <v>4214</v>
      </c>
      <c r="G4052" s="38" t="str">
        <f>HYPERLINK("http://enext.ua/s050001")</f>
        <v>http://enext.ua/s050001</v>
      </c>
    </row>
    <row r="4053" spans="2:7" ht="11.25" outlineLevel="4" x14ac:dyDescent="0.2">
      <c r="B4053" s="14" t="s">
        <v>7685</v>
      </c>
      <c r="C4053" s="14" t="s">
        <v>7686</v>
      </c>
      <c r="D4053" s="14">
        <v>1</v>
      </c>
      <c r="E4053" s="15">
        <v>212.41</v>
      </c>
      <c r="F4053" s="16" t="s">
        <v>4214</v>
      </c>
      <c r="G4053" s="38" t="str">
        <f>HYPERLINK("http://enext.ua/s050002")</f>
        <v>http://enext.ua/s050002</v>
      </c>
    </row>
    <row r="4054" spans="2:7" ht="11.25" outlineLevel="4" x14ac:dyDescent="0.2">
      <c r="B4054" s="14" t="s">
        <v>7687</v>
      </c>
      <c r="C4054" s="14" t="s">
        <v>7688</v>
      </c>
      <c r="D4054" s="14">
        <v>1</v>
      </c>
      <c r="E4054" s="15">
        <v>312.36</v>
      </c>
      <c r="F4054" s="16" t="s">
        <v>4214</v>
      </c>
      <c r="G4054" s="38" t="str">
        <f>HYPERLINK("http://enext.ua/s050003")</f>
        <v>http://enext.ua/s050003</v>
      </c>
    </row>
    <row r="4055" spans="2:7" ht="11.25" outlineLevel="4" x14ac:dyDescent="0.2">
      <c r="B4055" s="14" t="s">
        <v>7689</v>
      </c>
      <c r="C4055" s="14" t="s">
        <v>7690</v>
      </c>
      <c r="D4055" s="14">
        <v>1</v>
      </c>
      <c r="E4055" s="15">
        <v>375.71</v>
      </c>
      <c r="F4055" s="16" t="s">
        <v>4214</v>
      </c>
      <c r="G4055" s="38" t="str">
        <f>HYPERLINK("http://enext.ua/s050004")</f>
        <v>http://enext.ua/s050004</v>
      </c>
    </row>
    <row r="4056" spans="2:7" ht="11.25" outlineLevel="4" x14ac:dyDescent="0.2">
      <c r="B4056" s="14" t="s">
        <v>7691</v>
      </c>
      <c r="C4056" s="14" t="s">
        <v>7692</v>
      </c>
      <c r="D4056" s="14">
        <v>1</v>
      </c>
      <c r="E4056" s="15">
        <v>534.64</v>
      </c>
      <c r="F4056" s="16" t="s">
        <v>4214</v>
      </c>
      <c r="G4056" s="38" t="str">
        <f>HYPERLINK("http://enext.ua/s050005")</f>
        <v>http://enext.ua/s050005</v>
      </c>
    </row>
    <row r="4057" spans="2:7" ht="11.25" outlineLevel="4" x14ac:dyDescent="0.2">
      <c r="B4057" s="14" t="s">
        <v>7693</v>
      </c>
      <c r="C4057" s="14" t="s">
        <v>7694</v>
      </c>
      <c r="D4057" s="14">
        <v>1</v>
      </c>
      <c r="E4057" s="15">
        <v>885.94</v>
      </c>
      <c r="F4057" s="16" t="s">
        <v>4214</v>
      </c>
      <c r="G4057" s="38" t="str">
        <f>HYPERLINK("http://enext.ua/s050006")</f>
        <v>http://enext.ua/s050006</v>
      </c>
    </row>
    <row r="4058" spans="2:7" ht="12" outlineLevel="3" x14ac:dyDescent="0.2">
      <c r="B4058" s="10"/>
      <c r="C4058" s="36" t="s">
        <v>7695</v>
      </c>
      <c r="D4058" s="10"/>
      <c r="E4058" s="11"/>
      <c r="F4058" s="11"/>
      <c r="G4058" s="10"/>
    </row>
    <row r="4059" spans="2:7" ht="11.25" outlineLevel="4" x14ac:dyDescent="0.2">
      <c r="B4059" s="14" t="s">
        <v>7696</v>
      </c>
      <c r="C4059" s="14" t="s">
        <v>7697</v>
      </c>
      <c r="D4059" s="14">
        <v>30</v>
      </c>
      <c r="E4059" s="15">
        <v>24.41</v>
      </c>
      <c r="F4059" s="16" t="s">
        <v>8</v>
      </c>
      <c r="G4059" s="38" t="str">
        <f>HYPERLINK("http://enext.ua/s045001")</f>
        <v>http://enext.ua/s045001</v>
      </c>
    </row>
    <row r="4060" spans="2:7" ht="11.25" outlineLevel="4" x14ac:dyDescent="0.2">
      <c r="B4060" s="14" t="s">
        <v>7698</v>
      </c>
      <c r="C4060" s="14" t="s">
        <v>7699</v>
      </c>
      <c r="D4060" s="14">
        <v>30</v>
      </c>
      <c r="E4060" s="15">
        <v>28.48</v>
      </c>
      <c r="F4060" s="16" t="s">
        <v>8</v>
      </c>
      <c r="G4060" s="38" t="str">
        <f>HYPERLINK("http://enext.ua/s045002")</f>
        <v>http://enext.ua/s045002</v>
      </c>
    </row>
    <row r="4061" spans="2:7" ht="11.25" outlineLevel="4" x14ac:dyDescent="0.2">
      <c r="B4061" s="14" t="s">
        <v>7700</v>
      </c>
      <c r="C4061" s="14" t="s">
        <v>7701</v>
      </c>
      <c r="D4061" s="14">
        <v>30</v>
      </c>
      <c r="E4061" s="15">
        <v>32.840000000000003</v>
      </c>
      <c r="F4061" s="16" t="s">
        <v>8</v>
      </c>
      <c r="G4061" s="38" t="str">
        <f>HYPERLINK("http://enext.ua/s045003")</f>
        <v>http://enext.ua/s045003</v>
      </c>
    </row>
    <row r="4062" spans="2:7" ht="11.25" outlineLevel="4" x14ac:dyDescent="0.2">
      <c r="B4062" s="14" t="s">
        <v>7702</v>
      </c>
      <c r="C4062" s="14" t="s">
        <v>7703</v>
      </c>
      <c r="D4062" s="14">
        <v>30</v>
      </c>
      <c r="E4062" s="15">
        <v>43.3</v>
      </c>
      <c r="F4062" s="16" t="s">
        <v>8</v>
      </c>
      <c r="G4062" s="38" t="str">
        <f>HYPERLINK("http://enext.ua/s045004")</f>
        <v>http://enext.ua/s045004</v>
      </c>
    </row>
    <row r="4063" spans="2:7" ht="11.25" outlineLevel="4" x14ac:dyDescent="0.2">
      <c r="B4063" s="14" t="s">
        <v>7704</v>
      </c>
      <c r="C4063" s="14" t="s">
        <v>7705</v>
      </c>
      <c r="D4063" s="14">
        <v>20</v>
      </c>
      <c r="E4063" s="15">
        <v>59.28</v>
      </c>
      <c r="F4063" s="16" t="s">
        <v>8</v>
      </c>
      <c r="G4063" s="38" t="str">
        <f>HYPERLINK("http://enext.ua/s045005")</f>
        <v>http://enext.ua/s045005</v>
      </c>
    </row>
    <row r="4064" spans="2:7" ht="11.25" outlineLevel="4" x14ac:dyDescent="0.2">
      <c r="B4064" s="14" t="s">
        <v>7706</v>
      </c>
      <c r="C4064" s="14" t="s">
        <v>7707</v>
      </c>
      <c r="D4064" s="14">
        <v>10</v>
      </c>
      <c r="E4064" s="15">
        <v>95.02</v>
      </c>
      <c r="F4064" s="16" t="s">
        <v>8</v>
      </c>
      <c r="G4064" s="38" t="str">
        <f>HYPERLINK("http://enext.ua/s045006")</f>
        <v>http://enext.ua/s045006</v>
      </c>
    </row>
    <row r="4065" spans="2:7" ht="11.25" outlineLevel="4" x14ac:dyDescent="0.2">
      <c r="B4065" s="14" t="s">
        <v>7708</v>
      </c>
      <c r="C4065" s="14" t="s">
        <v>7709</v>
      </c>
      <c r="D4065" s="14">
        <v>10</v>
      </c>
      <c r="E4065" s="15">
        <v>120.88</v>
      </c>
      <c r="F4065" s="16" t="s">
        <v>8</v>
      </c>
      <c r="G4065" s="38" t="str">
        <f>HYPERLINK("http://enext.ua/s045007")</f>
        <v>http://enext.ua/s045007</v>
      </c>
    </row>
    <row r="4066" spans="2:7" ht="11.25" outlineLevel="4" x14ac:dyDescent="0.2">
      <c r="B4066" s="14" t="s">
        <v>7710</v>
      </c>
      <c r="C4066" s="14" t="s">
        <v>7711</v>
      </c>
      <c r="D4066" s="14">
        <v>5</v>
      </c>
      <c r="E4066" s="15">
        <v>175.8</v>
      </c>
      <c r="F4066" s="16" t="s">
        <v>8</v>
      </c>
      <c r="G4066" s="38" t="str">
        <f>HYPERLINK("http://enext.ua/s045008")</f>
        <v>http://enext.ua/s045008</v>
      </c>
    </row>
    <row r="4067" spans="2:7" ht="11.25" outlineLevel="4" x14ac:dyDescent="0.2">
      <c r="B4067" s="14" t="s">
        <v>7712</v>
      </c>
      <c r="C4067" s="14" t="s">
        <v>7713</v>
      </c>
      <c r="D4067" s="14">
        <v>5</v>
      </c>
      <c r="E4067" s="15">
        <v>306.83999999999997</v>
      </c>
      <c r="F4067" s="16" t="s">
        <v>8</v>
      </c>
      <c r="G4067" s="38" t="str">
        <f>HYPERLINK("http://enext.ua/s045009")</f>
        <v>http://enext.ua/s045009</v>
      </c>
    </row>
    <row r="4068" spans="2:7" ht="12" outlineLevel="3" x14ac:dyDescent="0.2">
      <c r="B4068" s="10"/>
      <c r="C4068" s="36" t="s">
        <v>7714</v>
      </c>
      <c r="D4068" s="10"/>
      <c r="E4068" s="11"/>
      <c r="F4068" s="11"/>
      <c r="G4068" s="10"/>
    </row>
    <row r="4069" spans="2:7" ht="11.25" outlineLevel="4" x14ac:dyDescent="0.2">
      <c r="B4069" s="14" t="s">
        <v>7715</v>
      </c>
      <c r="C4069" s="14" t="s">
        <v>7716</v>
      </c>
      <c r="D4069" s="14">
        <v>30</v>
      </c>
      <c r="E4069" s="15">
        <v>91.53</v>
      </c>
      <c r="F4069" s="16" t="s">
        <v>8</v>
      </c>
      <c r="G4069" s="38" t="str">
        <f>HYPERLINK("http://enext.ua/s046001")</f>
        <v>http://enext.ua/s046001</v>
      </c>
    </row>
    <row r="4070" spans="2:7" ht="11.25" outlineLevel="4" x14ac:dyDescent="0.2">
      <c r="B4070" s="14" t="s">
        <v>7717</v>
      </c>
      <c r="C4070" s="14" t="s">
        <v>7718</v>
      </c>
      <c r="D4070" s="14">
        <v>20</v>
      </c>
      <c r="E4070" s="15">
        <v>100.25</v>
      </c>
      <c r="F4070" s="16" t="s">
        <v>8</v>
      </c>
      <c r="G4070" s="38" t="str">
        <f>HYPERLINK("http://enext.ua/s046002")</f>
        <v>http://enext.ua/s046002</v>
      </c>
    </row>
    <row r="4071" spans="2:7" ht="11.25" outlineLevel="4" x14ac:dyDescent="0.2">
      <c r="B4071" s="14" t="s">
        <v>7719</v>
      </c>
      <c r="C4071" s="14" t="s">
        <v>7720</v>
      </c>
      <c r="D4071" s="14">
        <v>20</v>
      </c>
      <c r="E4071" s="15">
        <v>137.44</v>
      </c>
      <c r="F4071" s="16" t="s">
        <v>8</v>
      </c>
      <c r="G4071" s="38" t="str">
        <f>HYPERLINK("http://enext.ua/s046003")</f>
        <v>http://enext.ua/s046003</v>
      </c>
    </row>
    <row r="4072" spans="2:7" ht="11.25" outlineLevel="4" x14ac:dyDescent="0.2">
      <c r="B4072" s="14" t="s">
        <v>7721</v>
      </c>
      <c r="C4072" s="14" t="s">
        <v>7722</v>
      </c>
      <c r="D4072" s="14">
        <v>10</v>
      </c>
      <c r="E4072" s="15">
        <v>172.89</v>
      </c>
      <c r="F4072" s="16" t="s">
        <v>8</v>
      </c>
      <c r="G4072" s="38" t="str">
        <f>HYPERLINK("http://enext.ua/s046004")</f>
        <v>http://enext.ua/s046004</v>
      </c>
    </row>
    <row r="4073" spans="2:7" ht="11.25" outlineLevel="4" x14ac:dyDescent="0.2">
      <c r="B4073" s="14" t="s">
        <v>7723</v>
      </c>
      <c r="C4073" s="14" t="s">
        <v>7724</v>
      </c>
      <c r="D4073" s="14">
        <v>10</v>
      </c>
      <c r="E4073" s="15">
        <v>256.86</v>
      </c>
      <c r="F4073" s="16" t="s">
        <v>8</v>
      </c>
      <c r="G4073" s="38" t="str">
        <f>HYPERLINK("http://enext.ua/s046005")</f>
        <v>http://enext.ua/s046005</v>
      </c>
    </row>
    <row r="4074" spans="2:7" ht="11.25" outlineLevel="4" x14ac:dyDescent="0.2">
      <c r="B4074" s="14" t="s">
        <v>7725</v>
      </c>
      <c r="C4074" s="14" t="s">
        <v>7726</v>
      </c>
      <c r="D4074" s="14">
        <v>5</v>
      </c>
      <c r="E4074" s="15">
        <v>317.01</v>
      </c>
      <c r="F4074" s="16" t="s">
        <v>8</v>
      </c>
      <c r="G4074" s="38" t="str">
        <f>HYPERLINK("http://enext.ua/s046006")</f>
        <v>http://enext.ua/s046006</v>
      </c>
    </row>
    <row r="4075" spans="2:7" ht="11.25" outlineLevel="4" x14ac:dyDescent="0.2">
      <c r="B4075" s="14" t="s">
        <v>7727</v>
      </c>
      <c r="C4075" s="14" t="s">
        <v>7728</v>
      </c>
      <c r="D4075" s="14">
        <v>5</v>
      </c>
      <c r="E4075" s="15">
        <v>503.56</v>
      </c>
      <c r="F4075" s="16" t="s">
        <v>8</v>
      </c>
      <c r="G4075" s="38" t="str">
        <f>HYPERLINK("http://enext.ua/s046007")</f>
        <v>http://enext.ua/s046007</v>
      </c>
    </row>
    <row r="4076" spans="2:7" ht="12" outlineLevel="3" x14ac:dyDescent="0.2">
      <c r="B4076" s="10"/>
      <c r="C4076" s="36" t="s">
        <v>7729</v>
      </c>
      <c r="D4076" s="10"/>
      <c r="E4076" s="11"/>
      <c r="F4076" s="11"/>
      <c r="G4076" s="10"/>
    </row>
    <row r="4077" spans="2:7" ht="11.25" outlineLevel="4" x14ac:dyDescent="0.2">
      <c r="B4077" s="14" t="s">
        <v>7730</v>
      </c>
      <c r="C4077" s="14" t="s">
        <v>7731</v>
      </c>
      <c r="D4077" s="14">
        <v>1</v>
      </c>
      <c r="E4077" s="15">
        <v>33.42</v>
      </c>
      <c r="F4077" s="16" t="s">
        <v>8</v>
      </c>
      <c r="G4077" s="38" t="str">
        <f>HYPERLINK("http://enext.ua/s044009")</f>
        <v>http://enext.ua/s044009</v>
      </c>
    </row>
    <row r="4078" spans="2:7" ht="11.25" outlineLevel="4" x14ac:dyDescent="0.2">
      <c r="B4078" s="14" t="s">
        <v>7732</v>
      </c>
      <c r="C4078" s="14" t="s">
        <v>7733</v>
      </c>
      <c r="D4078" s="14">
        <v>25</v>
      </c>
      <c r="E4078" s="15">
        <v>57.53</v>
      </c>
      <c r="F4078" s="16" t="s">
        <v>8</v>
      </c>
      <c r="G4078" s="38" t="str">
        <f>HYPERLINK("http://enext.ua/s044001")</f>
        <v>http://enext.ua/s044001</v>
      </c>
    </row>
    <row r="4079" spans="2:7" ht="11.25" outlineLevel="4" x14ac:dyDescent="0.2">
      <c r="B4079" s="14" t="s">
        <v>7734</v>
      </c>
      <c r="C4079" s="14" t="s">
        <v>7735</v>
      </c>
      <c r="D4079" s="14">
        <v>20</v>
      </c>
      <c r="E4079" s="15">
        <v>78.75</v>
      </c>
      <c r="F4079" s="16" t="s">
        <v>8</v>
      </c>
      <c r="G4079" s="38" t="str">
        <f>HYPERLINK("http://enext.ua/s044002")</f>
        <v>http://enext.ua/s044002</v>
      </c>
    </row>
    <row r="4080" spans="2:7" ht="11.25" outlineLevel="4" x14ac:dyDescent="0.2">
      <c r="B4080" s="14" t="s">
        <v>7736</v>
      </c>
      <c r="C4080" s="14" t="s">
        <v>7737</v>
      </c>
      <c r="D4080" s="14">
        <v>10</v>
      </c>
      <c r="E4080" s="15">
        <v>114.78</v>
      </c>
      <c r="F4080" s="16" t="s">
        <v>8</v>
      </c>
      <c r="G4080" s="38" t="str">
        <f>HYPERLINK("http://enext.ua/s044003")</f>
        <v>http://enext.ua/s044003</v>
      </c>
    </row>
    <row r="4081" spans="2:7" ht="11.25" outlineLevel="4" x14ac:dyDescent="0.2">
      <c r="B4081" s="14" t="s">
        <v>7738</v>
      </c>
      <c r="C4081" s="14" t="s">
        <v>7739</v>
      </c>
      <c r="D4081" s="14">
        <v>10</v>
      </c>
      <c r="E4081" s="15">
        <v>140.93</v>
      </c>
      <c r="F4081" s="16" t="s">
        <v>8</v>
      </c>
      <c r="G4081" s="38" t="str">
        <f>HYPERLINK("http://enext.ua/s044004")</f>
        <v>http://enext.ua/s044004</v>
      </c>
    </row>
    <row r="4082" spans="2:7" ht="11.25" outlineLevel="4" x14ac:dyDescent="0.2">
      <c r="B4082" s="14" t="s">
        <v>7740</v>
      </c>
      <c r="C4082" s="14" t="s">
        <v>7741</v>
      </c>
      <c r="D4082" s="14">
        <v>5</v>
      </c>
      <c r="E4082" s="15">
        <v>200.21</v>
      </c>
      <c r="F4082" s="16" t="s">
        <v>8</v>
      </c>
      <c r="G4082" s="38" t="str">
        <f>HYPERLINK("http://enext.ua/s044005")</f>
        <v>http://enext.ua/s044005</v>
      </c>
    </row>
    <row r="4083" spans="2:7" ht="11.25" outlineLevel="4" x14ac:dyDescent="0.2">
      <c r="B4083" s="14" t="s">
        <v>7742</v>
      </c>
      <c r="C4083" s="14" t="s">
        <v>7743</v>
      </c>
      <c r="D4083" s="14">
        <v>1</v>
      </c>
      <c r="E4083" s="15">
        <v>330.66</v>
      </c>
      <c r="F4083" s="16" t="s">
        <v>8</v>
      </c>
      <c r="G4083" s="38" t="str">
        <f>HYPERLINK("http://enext.ua/s044006")</f>
        <v>http://enext.ua/s044006</v>
      </c>
    </row>
    <row r="4084" spans="2:7" ht="11.25" outlineLevel="4" x14ac:dyDescent="0.2">
      <c r="B4084" s="14" t="s">
        <v>7744</v>
      </c>
      <c r="C4084" s="14" t="s">
        <v>7745</v>
      </c>
      <c r="D4084" s="14">
        <v>1</v>
      </c>
      <c r="E4084" s="15">
        <v>550.04999999999995</v>
      </c>
      <c r="F4084" s="16" t="s">
        <v>8</v>
      </c>
      <c r="G4084" s="38" t="str">
        <f>HYPERLINK("http://enext.ua/s044010")</f>
        <v>http://enext.ua/s044010</v>
      </c>
    </row>
    <row r="4085" spans="2:7" ht="12" outlineLevel="3" x14ac:dyDescent="0.2">
      <c r="B4085" s="10"/>
      <c r="C4085" s="36" t="s">
        <v>7746</v>
      </c>
      <c r="D4085" s="10"/>
      <c r="E4085" s="11"/>
      <c r="F4085" s="11"/>
      <c r="G4085" s="10"/>
    </row>
    <row r="4086" spans="2:7" ht="11.25" outlineLevel="4" x14ac:dyDescent="0.2">
      <c r="B4086" s="14" t="s">
        <v>7747</v>
      </c>
      <c r="C4086" s="14" t="s">
        <v>7748</v>
      </c>
      <c r="D4086" s="14">
        <v>250</v>
      </c>
      <c r="E4086" s="15">
        <v>2.25</v>
      </c>
      <c r="F4086" s="16" t="s">
        <v>8</v>
      </c>
      <c r="G4086" s="38" t="str">
        <f>HYPERLINK("http://enext.ua/s043001")</f>
        <v>http://enext.ua/s043001</v>
      </c>
    </row>
    <row r="4087" spans="2:7" ht="11.25" outlineLevel="4" x14ac:dyDescent="0.2">
      <c r="B4087" s="14" t="s">
        <v>7749</v>
      </c>
      <c r="C4087" s="14" t="s">
        <v>7750</v>
      </c>
      <c r="D4087" s="14">
        <v>200</v>
      </c>
      <c r="E4087" s="15">
        <v>3.27</v>
      </c>
      <c r="F4087" s="16" t="s">
        <v>8</v>
      </c>
      <c r="G4087" s="38" t="str">
        <f>HYPERLINK("http://enext.ua/s043002")</f>
        <v>http://enext.ua/s043002</v>
      </c>
    </row>
    <row r="4088" spans="2:7" ht="11.25" outlineLevel="4" x14ac:dyDescent="0.2">
      <c r="B4088" s="14" t="s">
        <v>7751</v>
      </c>
      <c r="C4088" s="14" t="s">
        <v>7752</v>
      </c>
      <c r="D4088" s="14">
        <v>50</v>
      </c>
      <c r="E4088" s="15">
        <v>5.35</v>
      </c>
      <c r="F4088" s="16" t="s">
        <v>8</v>
      </c>
      <c r="G4088" s="38" t="str">
        <f>HYPERLINK("http://enext.ua/s043003")</f>
        <v>http://enext.ua/s043003</v>
      </c>
    </row>
    <row r="4089" spans="2:7" ht="11.25" outlineLevel="4" x14ac:dyDescent="0.2">
      <c r="B4089" s="14" t="s">
        <v>7753</v>
      </c>
      <c r="C4089" s="14" t="s">
        <v>7754</v>
      </c>
      <c r="D4089" s="14">
        <v>25</v>
      </c>
      <c r="E4089" s="15">
        <v>8.82</v>
      </c>
      <c r="F4089" s="16" t="s">
        <v>8</v>
      </c>
      <c r="G4089" s="38" t="str">
        <f>HYPERLINK("http://enext.ua/s043004")</f>
        <v>http://enext.ua/s043004</v>
      </c>
    </row>
    <row r="4090" spans="2:7" ht="11.25" outlineLevel="4" x14ac:dyDescent="0.2">
      <c r="B4090" s="14" t="s">
        <v>7755</v>
      </c>
      <c r="C4090" s="14" t="s">
        <v>7756</v>
      </c>
      <c r="D4090" s="14">
        <v>20</v>
      </c>
      <c r="E4090" s="15">
        <v>9.3699999999999992</v>
      </c>
      <c r="F4090" s="16" t="s">
        <v>8</v>
      </c>
      <c r="G4090" s="38" t="str">
        <f>HYPERLINK("http://enext.ua/s043005")</f>
        <v>http://enext.ua/s043005</v>
      </c>
    </row>
    <row r="4091" spans="2:7" ht="11.25" outlineLevel="4" x14ac:dyDescent="0.2">
      <c r="B4091" s="14" t="s">
        <v>7757</v>
      </c>
      <c r="C4091" s="14" t="s">
        <v>7758</v>
      </c>
      <c r="D4091" s="14">
        <v>15</v>
      </c>
      <c r="E4091" s="15">
        <v>12.57</v>
      </c>
      <c r="F4091" s="16" t="s">
        <v>8</v>
      </c>
      <c r="G4091" s="38" t="str">
        <f>HYPERLINK("http://enext.ua/s043006")</f>
        <v>http://enext.ua/s043006</v>
      </c>
    </row>
    <row r="4092" spans="2:7" ht="11.25" outlineLevel="4" x14ac:dyDescent="0.2">
      <c r="B4092" s="14" t="s">
        <v>7759</v>
      </c>
      <c r="C4092" s="14" t="s">
        <v>7760</v>
      </c>
      <c r="D4092" s="14">
        <v>1</v>
      </c>
      <c r="E4092" s="15">
        <v>26.73</v>
      </c>
      <c r="F4092" s="16" t="s">
        <v>8</v>
      </c>
      <c r="G4092" s="14"/>
    </row>
    <row r="4093" spans="2:7" ht="11.25" outlineLevel="4" x14ac:dyDescent="0.2">
      <c r="B4093" s="14" t="s">
        <v>7761</v>
      </c>
      <c r="C4093" s="14" t="s">
        <v>7762</v>
      </c>
      <c r="D4093" s="14">
        <v>200</v>
      </c>
      <c r="E4093" s="15">
        <v>2.38</v>
      </c>
      <c r="F4093" s="16" t="s">
        <v>8</v>
      </c>
      <c r="G4093" s="38" t="str">
        <f>HYPERLINK("http://enext.ua/s043007")</f>
        <v>http://enext.ua/s043007</v>
      </c>
    </row>
    <row r="4094" spans="2:7" ht="11.25" outlineLevel="4" x14ac:dyDescent="0.2">
      <c r="B4094" s="14" t="s">
        <v>7763</v>
      </c>
      <c r="C4094" s="14" t="s">
        <v>7764</v>
      </c>
      <c r="D4094" s="14">
        <v>100</v>
      </c>
      <c r="E4094" s="15">
        <v>2.94</v>
      </c>
      <c r="F4094" s="16" t="s">
        <v>8</v>
      </c>
      <c r="G4094" s="38" t="str">
        <f>HYPERLINK("http://enext.ua/s043008")</f>
        <v>http://enext.ua/s043008</v>
      </c>
    </row>
    <row r="4095" spans="2:7" ht="11.25" outlineLevel="4" x14ac:dyDescent="0.2">
      <c r="B4095" s="14" t="s">
        <v>7765</v>
      </c>
      <c r="C4095" s="14" t="s">
        <v>7766</v>
      </c>
      <c r="D4095" s="14">
        <v>50</v>
      </c>
      <c r="E4095" s="15">
        <v>4.68</v>
      </c>
      <c r="F4095" s="16" t="s">
        <v>8</v>
      </c>
      <c r="G4095" s="38" t="str">
        <f>HYPERLINK("http://enext.ua/s043009")</f>
        <v>http://enext.ua/s043009</v>
      </c>
    </row>
    <row r="4096" spans="2:7" ht="11.25" outlineLevel="4" x14ac:dyDescent="0.2">
      <c r="B4096" s="14" t="s">
        <v>7767</v>
      </c>
      <c r="C4096" s="14" t="s">
        <v>7768</v>
      </c>
      <c r="D4096" s="14">
        <v>1</v>
      </c>
      <c r="E4096" s="15">
        <v>6.23</v>
      </c>
      <c r="F4096" s="16" t="s">
        <v>8</v>
      </c>
      <c r="G4096" s="38" t="str">
        <f>HYPERLINK("http://enext.ua/s043010")</f>
        <v>http://enext.ua/s043010</v>
      </c>
    </row>
    <row r="4097" spans="2:7" ht="11.25" outlineLevel="4" x14ac:dyDescent="0.2">
      <c r="B4097" s="14" t="s">
        <v>7769</v>
      </c>
      <c r="C4097" s="14" t="s">
        <v>7770</v>
      </c>
      <c r="D4097" s="14">
        <v>15</v>
      </c>
      <c r="E4097" s="15">
        <v>11.45</v>
      </c>
      <c r="F4097" s="16" t="s">
        <v>8</v>
      </c>
      <c r="G4097" s="38" t="str">
        <f>HYPERLINK("http://enext.ua/s043012")</f>
        <v>http://enext.ua/s043012</v>
      </c>
    </row>
    <row r="4098" spans="2:7" ht="11.25" outlineLevel="4" x14ac:dyDescent="0.2">
      <c r="B4098" s="14" t="s">
        <v>7771</v>
      </c>
      <c r="C4098" s="14" t="s">
        <v>7772</v>
      </c>
      <c r="D4098" s="14">
        <v>20</v>
      </c>
      <c r="E4098" s="15">
        <v>8.43</v>
      </c>
      <c r="F4098" s="16" t="s">
        <v>8</v>
      </c>
      <c r="G4098" s="38" t="str">
        <f>HYPERLINK("http://enext.ua/s043011")</f>
        <v>http://enext.ua/s043011</v>
      </c>
    </row>
    <row r="4099" spans="2:7" ht="12" outlineLevel="3" x14ac:dyDescent="0.2">
      <c r="B4099" s="10"/>
      <c r="C4099" s="36" t="s">
        <v>7773</v>
      </c>
      <c r="D4099" s="10"/>
      <c r="E4099" s="11"/>
      <c r="F4099" s="11"/>
      <c r="G4099" s="10"/>
    </row>
    <row r="4100" spans="2:7" ht="11.25" outlineLevel="4" x14ac:dyDescent="0.2">
      <c r="B4100" s="14" t="s">
        <v>7774</v>
      </c>
      <c r="C4100" s="14" t="s">
        <v>7775</v>
      </c>
      <c r="D4100" s="14">
        <v>1</v>
      </c>
      <c r="E4100" s="15">
        <v>56.1</v>
      </c>
      <c r="F4100" s="16" t="s">
        <v>4214</v>
      </c>
      <c r="G4100" s="38" t="str">
        <f>HYPERLINK("http://enext.ua/s032051")</f>
        <v>http://enext.ua/s032051</v>
      </c>
    </row>
    <row r="4101" spans="2:7" ht="11.25" outlineLevel="4" x14ac:dyDescent="0.2">
      <c r="B4101" s="14" t="s">
        <v>7776</v>
      </c>
      <c r="C4101" s="14" t="s">
        <v>7777</v>
      </c>
      <c r="D4101" s="14">
        <v>1</v>
      </c>
      <c r="E4101" s="15">
        <v>61.88</v>
      </c>
      <c r="F4101" s="16" t="s">
        <v>4214</v>
      </c>
      <c r="G4101" s="38" t="str">
        <f>HYPERLINK("http://enext.ua/s032052")</f>
        <v>http://enext.ua/s032052</v>
      </c>
    </row>
    <row r="4102" spans="2:7" ht="11.25" outlineLevel="4" x14ac:dyDescent="0.2">
      <c r="B4102" s="14" t="s">
        <v>7778</v>
      </c>
      <c r="C4102" s="14" t="s">
        <v>7779</v>
      </c>
      <c r="D4102" s="14">
        <v>1</v>
      </c>
      <c r="E4102" s="15">
        <v>91.03</v>
      </c>
      <c r="F4102" s="16" t="s">
        <v>4214</v>
      </c>
      <c r="G4102" s="38" t="str">
        <f>HYPERLINK("http://enext.ua/s032053")</f>
        <v>http://enext.ua/s032053</v>
      </c>
    </row>
    <row r="4103" spans="2:7" ht="12" outlineLevel="2" x14ac:dyDescent="0.2">
      <c r="B4103" s="8"/>
      <c r="C4103" s="35" t="s">
        <v>7780</v>
      </c>
      <c r="D4103" s="8"/>
      <c r="E4103" s="9"/>
      <c r="F4103" s="9"/>
      <c r="G4103" s="8"/>
    </row>
    <row r="4104" spans="2:7" ht="12" outlineLevel="3" x14ac:dyDescent="0.2">
      <c r="B4104" s="10"/>
      <c r="C4104" s="36" t="s">
        <v>7781</v>
      </c>
      <c r="D4104" s="10"/>
      <c r="E4104" s="11"/>
      <c r="F4104" s="11"/>
      <c r="G4104" s="10"/>
    </row>
    <row r="4105" spans="2:7" ht="11.25" outlineLevel="4" x14ac:dyDescent="0.2">
      <c r="B4105" s="14" t="s">
        <v>7782</v>
      </c>
      <c r="C4105" s="14" t="s">
        <v>7783</v>
      </c>
      <c r="D4105" s="14">
        <v>1</v>
      </c>
      <c r="E4105" s="15">
        <v>215.62</v>
      </c>
      <c r="F4105" s="16" t="s">
        <v>8</v>
      </c>
      <c r="G4105" s="38" t="str">
        <f>HYPERLINK("http://enext.ua/i0380001")</f>
        <v>http://enext.ua/i0380001</v>
      </c>
    </row>
    <row r="4106" spans="2:7" ht="11.25" outlineLevel="4" x14ac:dyDescent="0.2">
      <c r="B4106" s="14" t="s">
        <v>7784</v>
      </c>
      <c r="C4106" s="14" t="s">
        <v>7785</v>
      </c>
      <c r="D4106" s="14">
        <v>1</v>
      </c>
      <c r="E4106" s="15">
        <v>241.68</v>
      </c>
      <c r="F4106" s="16" t="s">
        <v>8</v>
      </c>
      <c r="G4106" s="38" t="str">
        <f>HYPERLINK("http://enext.ua/i0380002")</f>
        <v>http://enext.ua/i0380002</v>
      </c>
    </row>
    <row r="4107" spans="2:7" ht="11.25" outlineLevel="4" x14ac:dyDescent="0.2">
      <c r="B4107" s="14" t="s">
        <v>7786</v>
      </c>
      <c r="C4107" s="14" t="s">
        <v>7787</v>
      </c>
      <c r="D4107" s="14">
        <v>1</v>
      </c>
      <c r="E4107" s="15">
        <v>358.49</v>
      </c>
      <c r="F4107" s="16" t="s">
        <v>8</v>
      </c>
      <c r="G4107" s="38" t="str">
        <f>HYPERLINK("http://enext.ua/i0380003")</f>
        <v>http://enext.ua/i0380003</v>
      </c>
    </row>
    <row r="4108" spans="2:7" ht="11.25" outlineLevel="4" x14ac:dyDescent="0.2">
      <c r="B4108" s="14" t="s">
        <v>7788</v>
      </c>
      <c r="C4108" s="14" t="s">
        <v>7789</v>
      </c>
      <c r="D4108" s="14">
        <v>1</v>
      </c>
      <c r="E4108" s="15">
        <v>470.25</v>
      </c>
      <c r="F4108" s="16" t="s">
        <v>8</v>
      </c>
      <c r="G4108" s="38" t="str">
        <f>HYPERLINK("http://enext.ua/i0380004")</f>
        <v>http://enext.ua/i0380004</v>
      </c>
    </row>
    <row r="4109" spans="2:7" ht="11.25" outlineLevel="4" x14ac:dyDescent="0.2">
      <c r="B4109" s="14" t="s">
        <v>7790</v>
      </c>
      <c r="C4109" s="14" t="s">
        <v>7791</v>
      </c>
      <c r="D4109" s="14">
        <v>1</v>
      </c>
      <c r="E4109" s="15">
        <v>634.97</v>
      </c>
      <c r="F4109" s="16" t="s">
        <v>8</v>
      </c>
      <c r="G4109" s="38" t="str">
        <f>HYPERLINK("http://enext.ua/i0380005")</f>
        <v>http://enext.ua/i0380005</v>
      </c>
    </row>
    <row r="4110" spans="2:7" ht="11.25" outlineLevel="4" x14ac:dyDescent="0.2">
      <c r="B4110" s="14" t="s">
        <v>7792</v>
      </c>
      <c r="C4110" s="14" t="s">
        <v>7793</v>
      </c>
      <c r="D4110" s="14">
        <v>1</v>
      </c>
      <c r="E4110" s="15">
        <v>740.36</v>
      </c>
      <c r="F4110" s="16" t="s">
        <v>8</v>
      </c>
      <c r="G4110" s="38" t="str">
        <f>HYPERLINK("http://enext.ua/i0380006")</f>
        <v>http://enext.ua/i0380006</v>
      </c>
    </row>
    <row r="4111" spans="2:7" ht="12" outlineLevel="3" x14ac:dyDescent="0.2">
      <c r="B4111" s="10"/>
      <c r="C4111" s="36" t="s">
        <v>7794</v>
      </c>
      <c r="D4111" s="10"/>
      <c r="E4111" s="11"/>
      <c r="F4111" s="11"/>
      <c r="G4111" s="10"/>
    </row>
    <row r="4112" spans="2:7" ht="11.25" outlineLevel="4" x14ac:dyDescent="0.2">
      <c r="B4112" s="14" t="s">
        <v>7795</v>
      </c>
      <c r="C4112" s="14" t="s">
        <v>7796</v>
      </c>
      <c r="D4112" s="14">
        <v>1</v>
      </c>
      <c r="E4112" s="15">
        <v>411.44</v>
      </c>
      <c r="F4112" s="16" t="s">
        <v>8</v>
      </c>
      <c r="G4112" s="38" t="str">
        <f>HYPERLINK("http://enext.ua/i0370001")</f>
        <v>http://enext.ua/i0370001</v>
      </c>
    </row>
    <row r="4113" spans="2:7" ht="11.25" outlineLevel="4" x14ac:dyDescent="0.2">
      <c r="B4113" s="14" t="s">
        <v>7797</v>
      </c>
      <c r="C4113" s="14" t="s">
        <v>7798</v>
      </c>
      <c r="D4113" s="14">
        <v>1</v>
      </c>
      <c r="E4113" s="15">
        <v>889.13</v>
      </c>
      <c r="F4113" s="16" t="s">
        <v>8</v>
      </c>
      <c r="G4113" s="38" t="str">
        <f>HYPERLINK("http://enext.ua/i0370004")</f>
        <v>http://enext.ua/i0370004</v>
      </c>
    </row>
    <row r="4114" spans="2:7" ht="12" outlineLevel="3" x14ac:dyDescent="0.2">
      <c r="B4114" s="10"/>
      <c r="C4114" s="36" t="s">
        <v>7799</v>
      </c>
      <c r="D4114" s="10"/>
      <c r="E4114" s="11"/>
      <c r="F4114" s="11"/>
      <c r="G4114" s="10"/>
    </row>
    <row r="4115" spans="2:7" ht="11.25" outlineLevel="4" x14ac:dyDescent="0.2">
      <c r="B4115" s="14" t="s">
        <v>7800</v>
      </c>
      <c r="C4115" s="14" t="s">
        <v>7801</v>
      </c>
      <c r="D4115" s="14">
        <v>1</v>
      </c>
      <c r="E4115" s="15">
        <v>33.42</v>
      </c>
      <c r="F4115" s="16" t="s">
        <v>8</v>
      </c>
      <c r="G4115" s="38" t="str">
        <f>HYPERLINK("http://enext.ua/i0400001")</f>
        <v>http://enext.ua/i0400001</v>
      </c>
    </row>
    <row r="4116" spans="2:7" ht="11.25" outlineLevel="4" x14ac:dyDescent="0.2">
      <c r="B4116" s="14" t="s">
        <v>7802</v>
      </c>
      <c r="C4116" s="14" t="s">
        <v>7803</v>
      </c>
      <c r="D4116" s="14">
        <v>1</v>
      </c>
      <c r="E4116" s="15">
        <v>47.95</v>
      </c>
      <c r="F4116" s="16" t="s">
        <v>8</v>
      </c>
      <c r="G4116" s="38" t="str">
        <f>HYPERLINK("http://enext.ua/i0400002")</f>
        <v>http://enext.ua/i0400002</v>
      </c>
    </row>
    <row r="4117" spans="2:7" ht="11.25" outlineLevel="4" x14ac:dyDescent="0.2">
      <c r="B4117" s="14" t="s">
        <v>7804</v>
      </c>
      <c r="C4117" s="14" t="s">
        <v>7805</v>
      </c>
      <c r="D4117" s="14">
        <v>1</v>
      </c>
      <c r="E4117" s="15">
        <v>81.36</v>
      </c>
      <c r="F4117" s="16" t="s">
        <v>8</v>
      </c>
      <c r="G4117" s="38" t="str">
        <f>HYPERLINK("http://enext.ua/i0400003")</f>
        <v>http://enext.ua/i0400003</v>
      </c>
    </row>
    <row r="4118" spans="2:7" ht="11.25" outlineLevel="4" x14ac:dyDescent="0.2">
      <c r="B4118" s="14" t="s">
        <v>7806</v>
      </c>
      <c r="C4118" s="14" t="s">
        <v>7807</v>
      </c>
      <c r="D4118" s="14">
        <v>1</v>
      </c>
      <c r="E4118" s="15">
        <v>114.78</v>
      </c>
      <c r="F4118" s="16" t="s">
        <v>8</v>
      </c>
      <c r="G4118" s="38" t="str">
        <f>HYPERLINK("http://enext.ua/i0400004")</f>
        <v>http://enext.ua/i0400004</v>
      </c>
    </row>
    <row r="4119" spans="2:7" ht="11.25" outlineLevel="4" x14ac:dyDescent="0.2">
      <c r="B4119" s="14" t="s">
        <v>7808</v>
      </c>
      <c r="C4119" s="14" t="s">
        <v>7809</v>
      </c>
      <c r="D4119" s="14">
        <v>1</v>
      </c>
      <c r="E4119" s="15">
        <v>199.04</v>
      </c>
      <c r="F4119" s="16" t="s">
        <v>8</v>
      </c>
      <c r="G4119" s="38" t="str">
        <f>HYPERLINK("http://enext.ua/i0400005")</f>
        <v>http://enext.ua/i0400005</v>
      </c>
    </row>
    <row r="4120" spans="2:7" ht="11.25" outlineLevel="4" x14ac:dyDescent="0.2">
      <c r="B4120" s="14" t="s">
        <v>7810</v>
      </c>
      <c r="C4120" s="14" t="s">
        <v>7811</v>
      </c>
      <c r="D4120" s="14">
        <v>1</v>
      </c>
      <c r="E4120" s="15">
        <v>291.73</v>
      </c>
      <c r="F4120" s="16" t="s">
        <v>8</v>
      </c>
      <c r="G4120" s="38" t="str">
        <f>HYPERLINK("http://enext.ua/i0400006")</f>
        <v>http://enext.ua/i0400006</v>
      </c>
    </row>
    <row r="4121" spans="2:7" ht="12" outlineLevel="3" x14ac:dyDescent="0.2">
      <c r="B4121" s="10"/>
      <c r="C4121" s="36" t="s">
        <v>7812</v>
      </c>
      <c r="D4121" s="10"/>
      <c r="E4121" s="11"/>
      <c r="F4121" s="11"/>
      <c r="G4121" s="10"/>
    </row>
    <row r="4122" spans="2:7" ht="11.25" outlineLevel="4" x14ac:dyDescent="0.2">
      <c r="B4122" s="14" t="s">
        <v>7813</v>
      </c>
      <c r="C4122" s="14" t="s">
        <v>7814</v>
      </c>
      <c r="D4122" s="14">
        <v>1</v>
      </c>
      <c r="E4122" s="15">
        <v>124.66</v>
      </c>
      <c r="F4122" s="16" t="s">
        <v>8</v>
      </c>
      <c r="G4122" s="38" t="str">
        <f>HYPERLINK("http://enext.ua/i0390003")</f>
        <v>http://enext.ua/i0390003</v>
      </c>
    </row>
    <row r="4123" spans="2:7" ht="11.25" outlineLevel="4" x14ac:dyDescent="0.2">
      <c r="B4123" s="14" t="s">
        <v>7815</v>
      </c>
      <c r="C4123" s="14" t="s">
        <v>7816</v>
      </c>
      <c r="D4123" s="14">
        <v>1</v>
      </c>
      <c r="E4123" s="15">
        <v>163.30000000000001</v>
      </c>
      <c r="F4123" s="16" t="s">
        <v>8</v>
      </c>
      <c r="G4123" s="38" t="str">
        <f>HYPERLINK("http://enext.ua/i0390004")</f>
        <v>http://enext.ua/i0390004</v>
      </c>
    </row>
    <row r="4124" spans="2:7" ht="11.25" outlineLevel="4" x14ac:dyDescent="0.2">
      <c r="B4124" s="14" t="s">
        <v>7817</v>
      </c>
      <c r="C4124" s="14" t="s">
        <v>7818</v>
      </c>
      <c r="D4124" s="14">
        <v>1</v>
      </c>
      <c r="E4124" s="15">
        <v>221.41</v>
      </c>
      <c r="F4124" s="16" t="s">
        <v>8</v>
      </c>
      <c r="G4124" s="38" t="str">
        <f>HYPERLINK("http://enext.ua/i0390005")</f>
        <v>http://enext.ua/i0390005</v>
      </c>
    </row>
    <row r="4125" spans="2:7" ht="12" outlineLevel="3" x14ac:dyDescent="0.2">
      <c r="B4125" s="10"/>
      <c r="C4125" s="36" t="s">
        <v>7819</v>
      </c>
      <c r="D4125" s="10"/>
      <c r="E4125" s="11"/>
      <c r="F4125" s="11"/>
      <c r="G4125" s="10"/>
    </row>
    <row r="4126" spans="2:7" ht="11.25" outlineLevel="4" x14ac:dyDescent="0.2">
      <c r="B4126" s="14" t="s">
        <v>7820</v>
      </c>
      <c r="C4126" s="14" t="s">
        <v>7821</v>
      </c>
      <c r="D4126" s="14">
        <v>1</v>
      </c>
      <c r="E4126" s="15">
        <v>16.850000000000001</v>
      </c>
      <c r="F4126" s="16" t="s">
        <v>8</v>
      </c>
      <c r="G4126" s="38" t="str">
        <f>HYPERLINK("http://enext.ua/i0420001")</f>
        <v>http://enext.ua/i0420001</v>
      </c>
    </row>
    <row r="4127" spans="2:7" ht="11.25" outlineLevel="4" x14ac:dyDescent="0.2">
      <c r="B4127" s="14" t="s">
        <v>7822</v>
      </c>
      <c r="C4127" s="14" t="s">
        <v>7823</v>
      </c>
      <c r="D4127" s="14">
        <v>1</v>
      </c>
      <c r="E4127" s="15">
        <v>24.7</v>
      </c>
      <c r="F4127" s="16" t="s">
        <v>8</v>
      </c>
      <c r="G4127" s="38" t="str">
        <f>HYPERLINK("http://enext.ua/i0420002")</f>
        <v>http://enext.ua/i0420002</v>
      </c>
    </row>
    <row r="4128" spans="2:7" ht="11.25" outlineLevel="4" x14ac:dyDescent="0.2">
      <c r="B4128" s="14" t="s">
        <v>7824</v>
      </c>
      <c r="C4128" s="14" t="s">
        <v>7825</v>
      </c>
      <c r="D4128" s="14">
        <v>1</v>
      </c>
      <c r="E4128" s="15">
        <v>56.67</v>
      </c>
      <c r="F4128" s="16" t="s">
        <v>8</v>
      </c>
      <c r="G4128" s="38" t="str">
        <f>HYPERLINK("http://enext.ua/i0420004")</f>
        <v>http://enext.ua/i0420004</v>
      </c>
    </row>
    <row r="4129" spans="2:7" ht="11.25" outlineLevel="4" x14ac:dyDescent="0.2">
      <c r="B4129" s="14" t="s">
        <v>7826</v>
      </c>
      <c r="C4129" s="14" t="s">
        <v>7827</v>
      </c>
      <c r="D4129" s="14">
        <v>1</v>
      </c>
      <c r="E4129" s="15">
        <v>53.46</v>
      </c>
      <c r="F4129" s="16" t="s">
        <v>8</v>
      </c>
      <c r="G4129" s="38" t="str">
        <f>HYPERLINK("http://enext.ua/i0420005")</f>
        <v>http://enext.ua/i0420005</v>
      </c>
    </row>
    <row r="4130" spans="2:7" ht="12" outlineLevel="3" x14ac:dyDescent="0.2">
      <c r="B4130" s="10"/>
      <c r="C4130" s="36" t="s">
        <v>7828</v>
      </c>
      <c r="D4130" s="10"/>
      <c r="E4130" s="11"/>
      <c r="F4130" s="11"/>
      <c r="G4130" s="10"/>
    </row>
    <row r="4131" spans="2:7" ht="11.25" outlineLevel="4" x14ac:dyDescent="0.2">
      <c r="B4131" s="14" t="s">
        <v>7829</v>
      </c>
      <c r="C4131" s="14" t="s">
        <v>7830</v>
      </c>
      <c r="D4131" s="14">
        <v>1</v>
      </c>
      <c r="E4131" s="15">
        <v>34.29</v>
      </c>
      <c r="F4131" s="16" t="s">
        <v>8</v>
      </c>
      <c r="G4131" s="38" t="str">
        <f>HYPERLINK("http://enext.ua/i0430001")</f>
        <v>http://enext.ua/i0430001</v>
      </c>
    </row>
    <row r="4132" spans="2:7" ht="11.25" outlineLevel="4" x14ac:dyDescent="0.2">
      <c r="B4132" s="14" t="s">
        <v>7831</v>
      </c>
      <c r="C4132" s="14" t="s">
        <v>7832</v>
      </c>
      <c r="D4132" s="14">
        <v>1</v>
      </c>
      <c r="E4132" s="15">
        <v>45.91</v>
      </c>
      <c r="F4132" s="16" t="s">
        <v>8</v>
      </c>
      <c r="G4132" s="38" t="str">
        <f>HYPERLINK("http://enext.ua/i0430002")</f>
        <v>http://enext.ua/i0430002</v>
      </c>
    </row>
    <row r="4133" spans="2:7" ht="11.25" outlineLevel="4" x14ac:dyDescent="0.2">
      <c r="B4133" s="14" t="s">
        <v>7833</v>
      </c>
      <c r="C4133" s="14" t="s">
        <v>7834</v>
      </c>
      <c r="D4133" s="14">
        <v>1</v>
      </c>
      <c r="E4133" s="15">
        <v>66.72</v>
      </c>
      <c r="F4133" s="16" t="s">
        <v>8</v>
      </c>
      <c r="G4133" s="38" t="str">
        <f>HYPERLINK("http://enext.ua/i0430003")</f>
        <v>http://enext.ua/i0430003</v>
      </c>
    </row>
    <row r="4134" spans="2:7" ht="11.25" outlineLevel="4" x14ac:dyDescent="0.2">
      <c r="B4134" s="14" t="s">
        <v>7835</v>
      </c>
      <c r="C4134" s="14" t="s">
        <v>7836</v>
      </c>
      <c r="D4134" s="14">
        <v>1</v>
      </c>
      <c r="E4134" s="15">
        <v>89.96</v>
      </c>
      <c r="F4134" s="16" t="s">
        <v>8</v>
      </c>
      <c r="G4134" s="38" t="str">
        <f>HYPERLINK("http://enext.ua/i0430004")</f>
        <v>http://enext.ua/i0430004</v>
      </c>
    </row>
    <row r="4135" spans="2:7" ht="11.25" outlineLevel="4" x14ac:dyDescent="0.2">
      <c r="B4135" s="14" t="s">
        <v>7837</v>
      </c>
      <c r="C4135" s="14" t="s">
        <v>7838</v>
      </c>
      <c r="D4135" s="14">
        <v>1</v>
      </c>
      <c r="E4135" s="15">
        <v>105.92</v>
      </c>
      <c r="F4135" s="16" t="s">
        <v>8</v>
      </c>
      <c r="G4135" s="38" t="str">
        <f>HYPERLINK("http://enext.ua/i0430005")</f>
        <v>http://enext.ua/i0430005</v>
      </c>
    </row>
    <row r="4136" spans="2:7" ht="11.25" outlineLevel="4" x14ac:dyDescent="0.2">
      <c r="B4136" s="14" t="s">
        <v>7839</v>
      </c>
      <c r="C4136" s="14" t="s">
        <v>7840</v>
      </c>
      <c r="D4136" s="14">
        <v>1</v>
      </c>
      <c r="E4136" s="15">
        <v>233.91</v>
      </c>
      <c r="F4136" s="16" t="s">
        <v>8</v>
      </c>
      <c r="G4136" s="38" t="str">
        <f>HYPERLINK("http://enext.ua/i0430006")</f>
        <v>http://enext.ua/i0430006</v>
      </c>
    </row>
    <row r="4137" spans="2:7" ht="12" outlineLevel="3" x14ac:dyDescent="0.2">
      <c r="B4137" s="10"/>
      <c r="C4137" s="36" t="s">
        <v>7841</v>
      </c>
      <c r="D4137" s="10"/>
      <c r="E4137" s="11"/>
      <c r="F4137" s="11"/>
      <c r="G4137" s="10"/>
    </row>
    <row r="4138" spans="2:7" ht="11.25" outlineLevel="4" x14ac:dyDescent="0.2">
      <c r="B4138" s="14" t="s">
        <v>7842</v>
      </c>
      <c r="C4138" s="14" t="s">
        <v>7843</v>
      </c>
      <c r="D4138" s="14">
        <v>1</v>
      </c>
      <c r="E4138" s="15">
        <v>18.02</v>
      </c>
      <c r="F4138" s="16" t="s">
        <v>8</v>
      </c>
      <c r="G4138" s="38" t="str">
        <f>HYPERLINK("http://enext.ua/i0440001")</f>
        <v>http://enext.ua/i0440001</v>
      </c>
    </row>
    <row r="4139" spans="2:7" ht="11.25" outlineLevel="4" x14ac:dyDescent="0.2">
      <c r="B4139" s="14" t="s">
        <v>7844</v>
      </c>
      <c r="C4139" s="14" t="s">
        <v>7845</v>
      </c>
      <c r="D4139" s="14">
        <v>1</v>
      </c>
      <c r="E4139" s="15">
        <v>26.45</v>
      </c>
      <c r="F4139" s="16" t="s">
        <v>8</v>
      </c>
      <c r="G4139" s="38" t="str">
        <f>HYPERLINK("http://enext.ua/i0440002")</f>
        <v>http://enext.ua/i0440002</v>
      </c>
    </row>
    <row r="4140" spans="2:7" ht="11.25" outlineLevel="4" x14ac:dyDescent="0.2">
      <c r="B4140" s="14" t="s">
        <v>7846</v>
      </c>
      <c r="C4140" s="14" t="s">
        <v>7847</v>
      </c>
      <c r="D4140" s="14">
        <v>1</v>
      </c>
      <c r="E4140" s="15">
        <v>39.229999999999997</v>
      </c>
      <c r="F4140" s="16" t="s">
        <v>8</v>
      </c>
      <c r="G4140" s="38" t="str">
        <f>HYPERLINK("http://enext.ua/i0440003")</f>
        <v>http://enext.ua/i0440003</v>
      </c>
    </row>
    <row r="4141" spans="2:7" ht="11.25" outlineLevel="4" x14ac:dyDescent="0.2">
      <c r="B4141" s="14" t="s">
        <v>7848</v>
      </c>
      <c r="C4141" s="14" t="s">
        <v>7849</v>
      </c>
      <c r="D4141" s="14">
        <v>1</v>
      </c>
      <c r="E4141" s="15">
        <v>59.36</v>
      </c>
      <c r="F4141" s="16" t="s">
        <v>8</v>
      </c>
      <c r="G4141" s="38" t="str">
        <f>HYPERLINK("http://enext.ua/i0440004")</f>
        <v>http://enext.ua/i0440004</v>
      </c>
    </row>
    <row r="4142" spans="2:7" ht="11.25" outlineLevel="4" x14ac:dyDescent="0.2">
      <c r="B4142" s="14" t="s">
        <v>7850</v>
      </c>
      <c r="C4142" s="14" t="s">
        <v>7851</v>
      </c>
      <c r="D4142" s="14">
        <v>1</v>
      </c>
      <c r="E4142" s="15">
        <v>70.88</v>
      </c>
      <c r="F4142" s="16" t="s">
        <v>8</v>
      </c>
      <c r="G4142" s="38" t="str">
        <f>HYPERLINK("http://enext.ua/i0440005")</f>
        <v>http://enext.ua/i0440005</v>
      </c>
    </row>
    <row r="4143" spans="2:7" ht="11.25" outlineLevel="4" x14ac:dyDescent="0.2">
      <c r="B4143" s="14" t="s">
        <v>7852</v>
      </c>
      <c r="C4143" s="14" t="s">
        <v>7853</v>
      </c>
      <c r="D4143" s="14">
        <v>1</v>
      </c>
      <c r="E4143" s="15">
        <v>76.48</v>
      </c>
      <c r="F4143" s="16" t="s">
        <v>8</v>
      </c>
      <c r="G4143" s="38" t="str">
        <f>HYPERLINK("http://enext.ua/i0440006")</f>
        <v>http://enext.ua/i0440006</v>
      </c>
    </row>
    <row r="4144" spans="2:7" ht="12" outlineLevel="3" x14ac:dyDescent="0.2">
      <c r="B4144" s="10"/>
      <c r="C4144" s="36" t="s">
        <v>7854</v>
      </c>
      <c r="D4144" s="10"/>
      <c r="E4144" s="11"/>
      <c r="F4144" s="11"/>
      <c r="G4144" s="10"/>
    </row>
    <row r="4145" spans="2:7" ht="11.25" outlineLevel="4" x14ac:dyDescent="0.2">
      <c r="B4145" s="14" t="s">
        <v>7855</v>
      </c>
      <c r="C4145" s="14" t="s">
        <v>7856</v>
      </c>
      <c r="D4145" s="14">
        <v>1</v>
      </c>
      <c r="E4145" s="15">
        <v>21.8</v>
      </c>
      <c r="F4145" s="16" t="s">
        <v>8</v>
      </c>
      <c r="G4145" s="38" t="str">
        <f>HYPERLINK("http://enext.ua/i0580001")</f>
        <v>http://enext.ua/i0580001</v>
      </c>
    </row>
    <row r="4146" spans="2:7" ht="11.25" outlineLevel="4" x14ac:dyDescent="0.2">
      <c r="B4146" s="14" t="s">
        <v>7857</v>
      </c>
      <c r="C4146" s="14" t="s">
        <v>7858</v>
      </c>
      <c r="D4146" s="14">
        <v>1</v>
      </c>
      <c r="E4146" s="15">
        <v>42.72</v>
      </c>
      <c r="F4146" s="16" t="s">
        <v>8</v>
      </c>
      <c r="G4146" s="38" t="str">
        <f>HYPERLINK("http://enext.ua/i0580003")</f>
        <v>http://enext.ua/i0580003</v>
      </c>
    </row>
    <row r="4147" spans="2:7" ht="11.25" outlineLevel="4" x14ac:dyDescent="0.2">
      <c r="B4147" s="14" t="s">
        <v>7859</v>
      </c>
      <c r="C4147" s="14" t="s">
        <v>7860</v>
      </c>
      <c r="D4147" s="14">
        <v>1</v>
      </c>
      <c r="E4147" s="15">
        <v>54.92</v>
      </c>
      <c r="F4147" s="16" t="s">
        <v>8</v>
      </c>
      <c r="G4147" s="38" t="str">
        <f>HYPERLINK("http://enext.ua/i0580004")</f>
        <v>http://enext.ua/i0580004</v>
      </c>
    </row>
    <row r="4148" spans="2:7" ht="11.25" outlineLevel="4" x14ac:dyDescent="0.2">
      <c r="B4148" s="14" t="s">
        <v>7861</v>
      </c>
      <c r="C4148" s="14" t="s">
        <v>7862</v>
      </c>
      <c r="D4148" s="14">
        <v>1</v>
      </c>
      <c r="E4148" s="15">
        <v>99.37</v>
      </c>
      <c r="F4148" s="16" t="s">
        <v>8</v>
      </c>
      <c r="G4148" s="38" t="str">
        <f>HYPERLINK("http://enext.ua/i0580006")</f>
        <v>http://enext.ua/i0580006</v>
      </c>
    </row>
    <row r="4149" spans="2:7" ht="12" outlineLevel="3" x14ac:dyDescent="0.2">
      <c r="B4149" s="10"/>
      <c r="C4149" s="36" t="s">
        <v>7863</v>
      </c>
      <c r="D4149" s="10"/>
      <c r="E4149" s="11"/>
      <c r="F4149" s="11"/>
      <c r="G4149" s="10"/>
    </row>
    <row r="4150" spans="2:7" ht="11.25" outlineLevel="4" x14ac:dyDescent="0.2">
      <c r="B4150" s="14" t="s">
        <v>7864</v>
      </c>
      <c r="C4150" s="14" t="s">
        <v>7865</v>
      </c>
      <c r="D4150" s="14">
        <v>1</v>
      </c>
      <c r="E4150" s="15">
        <v>31.1</v>
      </c>
      <c r="F4150" s="16" t="s">
        <v>8</v>
      </c>
      <c r="G4150" s="38" t="str">
        <f>HYPERLINK("http://enext.ua/i0460001")</f>
        <v>http://enext.ua/i0460001</v>
      </c>
    </row>
    <row r="4151" spans="2:7" ht="11.25" outlineLevel="4" x14ac:dyDescent="0.2">
      <c r="B4151" s="14" t="s">
        <v>7866</v>
      </c>
      <c r="C4151" s="14" t="s">
        <v>7867</v>
      </c>
      <c r="D4151" s="14">
        <v>1</v>
      </c>
      <c r="E4151" s="15">
        <v>45.11</v>
      </c>
      <c r="F4151" s="16" t="s">
        <v>8</v>
      </c>
      <c r="G4151" s="38" t="str">
        <f>HYPERLINK("http://enext.ua/i0460002")</f>
        <v>http://enext.ua/i0460002</v>
      </c>
    </row>
    <row r="4152" spans="2:7" ht="11.25" outlineLevel="4" x14ac:dyDescent="0.2">
      <c r="B4152" s="14" t="s">
        <v>7868</v>
      </c>
      <c r="C4152" s="14" t="s">
        <v>7869</v>
      </c>
      <c r="D4152" s="14">
        <v>1</v>
      </c>
      <c r="E4152" s="15">
        <v>56.26</v>
      </c>
      <c r="F4152" s="16" t="s">
        <v>8</v>
      </c>
      <c r="G4152" s="38" t="str">
        <f>HYPERLINK("http://enext.ua/i0460003")</f>
        <v>http://enext.ua/i0460003</v>
      </c>
    </row>
    <row r="4153" spans="2:7" ht="11.25" outlineLevel="4" x14ac:dyDescent="0.2">
      <c r="B4153" s="14" t="s">
        <v>7870</v>
      </c>
      <c r="C4153" s="14" t="s">
        <v>7871</v>
      </c>
      <c r="D4153" s="14">
        <v>1</v>
      </c>
      <c r="E4153" s="15">
        <v>78.45</v>
      </c>
      <c r="F4153" s="16" t="s">
        <v>8</v>
      </c>
      <c r="G4153" s="38" t="str">
        <f>HYPERLINK("http://enext.ua/i0460004")</f>
        <v>http://enext.ua/i0460004</v>
      </c>
    </row>
    <row r="4154" spans="2:7" ht="11.25" outlineLevel="4" x14ac:dyDescent="0.2">
      <c r="B4154" s="14" t="s">
        <v>7872</v>
      </c>
      <c r="C4154" s="14" t="s">
        <v>7873</v>
      </c>
      <c r="D4154" s="14">
        <v>1</v>
      </c>
      <c r="E4154" s="15">
        <v>100.25</v>
      </c>
      <c r="F4154" s="16" t="s">
        <v>8</v>
      </c>
      <c r="G4154" s="38" t="str">
        <f>HYPERLINK("http://enext.ua/i0460005")</f>
        <v>http://enext.ua/i0460005</v>
      </c>
    </row>
    <row r="4155" spans="2:7" ht="11.25" outlineLevel="4" x14ac:dyDescent="0.2">
      <c r="B4155" s="14" t="s">
        <v>7874</v>
      </c>
      <c r="C4155" s="14" t="s">
        <v>7875</v>
      </c>
      <c r="D4155" s="14">
        <v>1</v>
      </c>
      <c r="E4155" s="15">
        <v>142.09</v>
      </c>
      <c r="F4155" s="16" t="s">
        <v>8</v>
      </c>
      <c r="G4155" s="38" t="str">
        <f>HYPERLINK("http://enext.ua/i0460006")</f>
        <v>http://enext.ua/i0460006</v>
      </c>
    </row>
    <row r="4156" spans="2:7" ht="12" outlineLevel="3" x14ac:dyDescent="0.2">
      <c r="B4156" s="10"/>
      <c r="C4156" s="36" t="s">
        <v>7876</v>
      </c>
      <c r="D4156" s="10"/>
      <c r="E4156" s="11"/>
      <c r="F4156" s="11"/>
      <c r="G4156" s="10"/>
    </row>
    <row r="4157" spans="2:7" ht="11.25" outlineLevel="4" x14ac:dyDescent="0.2">
      <c r="B4157" s="14" t="s">
        <v>7877</v>
      </c>
      <c r="C4157" s="14" t="s">
        <v>7878</v>
      </c>
      <c r="D4157" s="14">
        <v>1</v>
      </c>
      <c r="E4157" s="15">
        <v>26.45</v>
      </c>
      <c r="F4157" s="16" t="s">
        <v>8</v>
      </c>
      <c r="G4157" s="38" t="str">
        <f>HYPERLINK("http://enext.ua/i0450001")</f>
        <v>http://enext.ua/i0450001</v>
      </c>
    </row>
    <row r="4158" spans="2:7" ht="11.25" outlineLevel="4" x14ac:dyDescent="0.2">
      <c r="B4158" s="14" t="s">
        <v>7879</v>
      </c>
      <c r="C4158" s="14" t="s">
        <v>7880</v>
      </c>
      <c r="D4158" s="14">
        <v>1</v>
      </c>
      <c r="E4158" s="15">
        <v>45.04</v>
      </c>
      <c r="F4158" s="16" t="s">
        <v>8</v>
      </c>
      <c r="G4158" s="38" t="str">
        <f>HYPERLINK("http://enext.ua/i0450002")</f>
        <v>http://enext.ua/i0450002</v>
      </c>
    </row>
    <row r="4159" spans="2:7" ht="11.25" outlineLevel="4" x14ac:dyDescent="0.2">
      <c r="B4159" s="14" t="s">
        <v>7881</v>
      </c>
      <c r="C4159" s="14" t="s">
        <v>7882</v>
      </c>
      <c r="D4159" s="14">
        <v>1</v>
      </c>
      <c r="E4159" s="15">
        <v>69.739999999999995</v>
      </c>
      <c r="F4159" s="16" t="s">
        <v>8</v>
      </c>
      <c r="G4159" s="38" t="str">
        <f>HYPERLINK("http://enext.ua/i0450003")</f>
        <v>http://enext.ua/i0450003</v>
      </c>
    </row>
    <row r="4160" spans="2:7" ht="11.25" outlineLevel="4" x14ac:dyDescent="0.2">
      <c r="B4160" s="14" t="s">
        <v>7883</v>
      </c>
      <c r="C4160" s="14" t="s">
        <v>7884</v>
      </c>
      <c r="D4160" s="14">
        <v>1</v>
      </c>
      <c r="E4160" s="15">
        <v>164.18</v>
      </c>
      <c r="F4160" s="16" t="s">
        <v>8</v>
      </c>
      <c r="G4160" s="38" t="str">
        <f>HYPERLINK("http://enext.ua/i0450005")</f>
        <v>http://enext.ua/i0450005</v>
      </c>
    </row>
    <row r="4161" spans="2:7" ht="11.25" outlineLevel="4" x14ac:dyDescent="0.2">
      <c r="B4161" s="14" t="s">
        <v>7885</v>
      </c>
      <c r="C4161" s="14" t="s">
        <v>7886</v>
      </c>
      <c r="D4161" s="14">
        <v>1</v>
      </c>
      <c r="E4161" s="15">
        <v>120.01</v>
      </c>
      <c r="F4161" s="16" t="s">
        <v>8</v>
      </c>
      <c r="G4161" s="38" t="str">
        <f>HYPERLINK("http://enext.ua/i0450004")</f>
        <v>http://enext.ua/i0450004</v>
      </c>
    </row>
    <row r="4162" spans="2:7" ht="11.25" outlineLevel="4" x14ac:dyDescent="0.2">
      <c r="B4162" s="14" t="s">
        <v>7887</v>
      </c>
      <c r="C4162" s="14" t="s">
        <v>7888</v>
      </c>
      <c r="D4162" s="14">
        <v>1</v>
      </c>
      <c r="E4162" s="15">
        <v>199.04</v>
      </c>
      <c r="F4162" s="16" t="s">
        <v>8</v>
      </c>
      <c r="G4162" s="38" t="str">
        <f>HYPERLINK("http://enext.ua/i0450006")</f>
        <v>http://enext.ua/i0450006</v>
      </c>
    </row>
    <row r="4163" spans="2:7" ht="12" outlineLevel="3" x14ac:dyDescent="0.2">
      <c r="B4163" s="10"/>
      <c r="C4163" s="36" t="s">
        <v>7889</v>
      </c>
      <c r="D4163" s="10"/>
      <c r="E4163" s="11"/>
      <c r="F4163" s="11"/>
      <c r="G4163" s="10"/>
    </row>
    <row r="4164" spans="2:7" ht="11.25" outlineLevel="4" x14ac:dyDescent="0.2">
      <c r="B4164" s="14" t="s">
        <v>7890</v>
      </c>
      <c r="C4164" s="14" t="s">
        <v>7891</v>
      </c>
      <c r="D4164" s="14">
        <v>1</v>
      </c>
      <c r="E4164" s="15">
        <v>18.96</v>
      </c>
      <c r="F4164" s="16" t="s">
        <v>8</v>
      </c>
      <c r="G4164" s="38" t="str">
        <f>HYPERLINK("http://enext.ua/i0410001")</f>
        <v>http://enext.ua/i0410001</v>
      </c>
    </row>
    <row r="4165" spans="2:7" ht="11.25" outlineLevel="4" x14ac:dyDescent="0.2">
      <c r="B4165" s="14" t="s">
        <v>7892</v>
      </c>
      <c r="C4165" s="14" t="s">
        <v>7893</v>
      </c>
      <c r="D4165" s="14">
        <v>1</v>
      </c>
      <c r="E4165" s="15">
        <v>29.42</v>
      </c>
      <c r="F4165" s="16" t="s">
        <v>8</v>
      </c>
      <c r="G4165" s="38" t="str">
        <f>HYPERLINK("http://enext.ua/i0410002")</f>
        <v>http://enext.ua/i0410002</v>
      </c>
    </row>
    <row r="4166" spans="2:7" ht="11.25" outlineLevel="4" x14ac:dyDescent="0.2">
      <c r="B4166" s="14" t="s">
        <v>7894</v>
      </c>
      <c r="C4166" s="14" t="s">
        <v>7895</v>
      </c>
      <c r="D4166" s="14">
        <v>1</v>
      </c>
      <c r="E4166" s="15">
        <v>30.95</v>
      </c>
      <c r="F4166" s="16" t="s">
        <v>8</v>
      </c>
      <c r="G4166" s="38" t="str">
        <f>HYPERLINK("http://enext.ua/i0410003")</f>
        <v>http://enext.ua/i0410003</v>
      </c>
    </row>
    <row r="4167" spans="2:7" ht="11.25" outlineLevel="4" x14ac:dyDescent="0.2">
      <c r="B4167" s="14" t="s">
        <v>7896</v>
      </c>
      <c r="C4167" s="14" t="s">
        <v>7897</v>
      </c>
      <c r="D4167" s="14">
        <v>1</v>
      </c>
      <c r="E4167" s="15">
        <v>52.31</v>
      </c>
      <c r="F4167" s="16" t="s">
        <v>8</v>
      </c>
      <c r="G4167" s="38" t="str">
        <f>HYPERLINK("http://enext.ua/i0410004")</f>
        <v>http://enext.ua/i0410004</v>
      </c>
    </row>
    <row r="4168" spans="2:7" ht="11.25" outlineLevel="4" x14ac:dyDescent="0.2">
      <c r="B4168" s="14" t="s">
        <v>7898</v>
      </c>
      <c r="C4168" s="14" t="s">
        <v>7899</v>
      </c>
      <c r="D4168" s="14">
        <v>1</v>
      </c>
      <c r="E4168" s="15">
        <v>53.18</v>
      </c>
      <c r="F4168" s="16" t="s">
        <v>8</v>
      </c>
      <c r="G4168" s="38" t="str">
        <f>HYPERLINK("http://enext.ua/i0410005")</f>
        <v>http://enext.ua/i0410005</v>
      </c>
    </row>
    <row r="4169" spans="2:7" ht="11.25" outlineLevel="4" x14ac:dyDescent="0.2">
      <c r="B4169" s="14" t="s">
        <v>7900</v>
      </c>
      <c r="C4169" s="14" t="s">
        <v>7901</v>
      </c>
      <c r="D4169" s="14">
        <v>1</v>
      </c>
      <c r="E4169" s="15">
        <v>53.84</v>
      </c>
      <c r="F4169" s="16" t="s">
        <v>8</v>
      </c>
      <c r="G4169" s="38" t="str">
        <f>HYPERLINK("http://enext.ua/i0410006")</f>
        <v>http://enext.ua/i0410006</v>
      </c>
    </row>
    <row r="4170" spans="2:7" ht="11.25" outlineLevel="4" x14ac:dyDescent="0.2">
      <c r="B4170" s="14" t="s">
        <v>7902</v>
      </c>
      <c r="C4170" s="14" t="s">
        <v>7903</v>
      </c>
      <c r="D4170" s="14">
        <v>1</v>
      </c>
      <c r="E4170" s="15">
        <v>67.34</v>
      </c>
      <c r="F4170" s="16" t="s">
        <v>8</v>
      </c>
      <c r="G4170" s="38" t="str">
        <f>HYPERLINK("http://enext.ua/i0410007")</f>
        <v>http://enext.ua/i0410007</v>
      </c>
    </row>
    <row r="4171" spans="2:7" ht="11.25" outlineLevel="4" x14ac:dyDescent="0.2">
      <c r="B4171" s="14" t="s">
        <v>7904</v>
      </c>
      <c r="C4171" s="14" t="s">
        <v>7905</v>
      </c>
      <c r="D4171" s="14">
        <v>1</v>
      </c>
      <c r="E4171" s="15">
        <v>67.78</v>
      </c>
      <c r="F4171" s="16" t="s">
        <v>8</v>
      </c>
      <c r="G4171" s="38" t="str">
        <f>HYPERLINK("http://enext.ua/i0410008")</f>
        <v>http://enext.ua/i0410008</v>
      </c>
    </row>
    <row r="4172" spans="2:7" ht="11.25" outlineLevel="4" x14ac:dyDescent="0.2">
      <c r="B4172" s="14" t="s">
        <v>7906</v>
      </c>
      <c r="C4172" s="14" t="s">
        <v>7907</v>
      </c>
      <c r="D4172" s="14">
        <v>1</v>
      </c>
      <c r="E4172" s="15">
        <v>68.650000000000006</v>
      </c>
      <c r="F4172" s="16" t="s">
        <v>8</v>
      </c>
      <c r="G4172" s="38" t="str">
        <f>HYPERLINK("http://enext.ua/i0410009")</f>
        <v>http://enext.ua/i0410009</v>
      </c>
    </row>
    <row r="4173" spans="2:7" ht="22.5" outlineLevel="4" x14ac:dyDescent="0.2">
      <c r="B4173" s="14" t="s">
        <v>7908</v>
      </c>
      <c r="C4173" s="14" t="s">
        <v>7909</v>
      </c>
      <c r="D4173" s="14">
        <v>1</v>
      </c>
      <c r="E4173" s="15">
        <v>70.17</v>
      </c>
      <c r="F4173" s="16" t="s">
        <v>8</v>
      </c>
      <c r="G4173" s="38" t="str">
        <f>HYPERLINK("http://enext.ua/i0410010")</f>
        <v>http://enext.ua/i0410010</v>
      </c>
    </row>
    <row r="4174" spans="2:7" ht="11.25" outlineLevel="4" x14ac:dyDescent="0.2">
      <c r="B4174" s="14" t="s">
        <v>7910</v>
      </c>
      <c r="C4174" s="14" t="s">
        <v>7911</v>
      </c>
      <c r="D4174" s="14">
        <v>1</v>
      </c>
      <c r="E4174" s="15">
        <v>105.47</v>
      </c>
      <c r="F4174" s="16" t="s">
        <v>8</v>
      </c>
      <c r="G4174" s="38" t="str">
        <f>HYPERLINK("http://enext.ua/i0410013")</f>
        <v>http://enext.ua/i0410013</v>
      </c>
    </row>
    <row r="4175" spans="2:7" ht="11.25" outlineLevel="4" x14ac:dyDescent="0.2">
      <c r="B4175" s="14" t="s">
        <v>7912</v>
      </c>
      <c r="C4175" s="14" t="s">
        <v>7913</v>
      </c>
      <c r="D4175" s="14">
        <v>1</v>
      </c>
      <c r="E4175" s="15">
        <v>103.73</v>
      </c>
      <c r="F4175" s="16" t="s">
        <v>8</v>
      </c>
      <c r="G4175" s="38" t="str">
        <f>HYPERLINK("http://enext.ua/i0410011")</f>
        <v>http://enext.ua/i0410011</v>
      </c>
    </row>
    <row r="4176" spans="2:7" ht="11.25" outlineLevel="4" x14ac:dyDescent="0.2">
      <c r="B4176" s="14" t="s">
        <v>7914</v>
      </c>
      <c r="C4176" s="14" t="s">
        <v>7915</v>
      </c>
      <c r="D4176" s="14">
        <v>1</v>
      </c>
      <c r="E4176" s="15">
        <v>105.04</v>
      </c>
      <c r="F4176" s="16" t="s">
        <v>8</v>
      </c>
      <c r="G4176" s="38" t="str">
        <f>HYPERLINK("http://enext.ua/i0410012")</f>
        <v>http://enext.ua/i0410012</v>
      </c>
    </row>
    <row r="4177" spans="2:7" ht="11.25" outlineLevel="4" x14ac:dyDescent="0.2">
      <c r="B4177" s="14" t="s">
        <v>7916</v>
      </c>
      <c r="C4177" s="14" t="s">
        <v>7917</v>
      </c>
      <c r="D4177" s="14">
        <v>1</v>
      </c>
      <c r="E4177" s="15">
        <v>107.44</v>
      </c>
      <c r="F4177" s="16" t="s">
        <v>8</v>
      </c>
      <c r="G4177" s="38" t="str">
        <f>HYPERLINK("http://enext.ua/i0410014")</f>
        <v>http://enext.ua/i0410014</v>
      </c>
    </row>
    <row r="4178" spans="2:7" ht="11.25" outlineLevel="4" x14ac:dyDescent="0.2">
      <c r="B4178" s="14" t="s">
        <v>7918</v>
      </c>
      <c r="C4178" s="14" t="s">
        <v>7919</v>
      </c>
      <c r="D4178" s="14">
        <v>1</v>
      </c>
      <c r="E4178" s="15">
        <v>103.08</v>
      </c>
      <c r="F4178" s="16" t="s">
        <v>8</v>
      </c>
      <c r="G4178" s="38" t="str">
        <f>HYPERLINK("http://enext.ua/i0410015")</f>
        <v>http://enext.ua/i0410015</v>
      </c>
    </row>
    <row r="4179" spans="2:7" ht="12" outlineLevel="3" x14ac:dyDescent="0.2">
      <c r="B4179" s="10"/>
      <c r="C4179" s="36" t="s">
        <v>7920</v>
      </c>
      <c r="D4179" s="10"/>
      <c r="E4179" s="11"/>
      <c r="F4179" s="11"/>
      <c r="G4179" s="10"/>
    </row>
    <row r="4180" spans="2:7" ht="11.25" outlineLevel="4" x14ac:dyDescent="0.2">
      <c r="B4180" s="14" t="s">
        <v>7921</v>
      </c>
      <c r="C4180" s="14" t="s">
        <v>7922</v>
      </c>
      <c r="D4180" s="14">
        <v>1</v>
      </c>
      <c r="E4180" s="15">
        <v>94.44</v>
      </c>
      <c r="F4180" s="16" t="s">
        <v>8</v>
      </c>
      <c r="G4180" s="38" t="str">
        <f>HYPERLINK("http://enext.ua/i0550001")</f>
        <v>http://enext.ua/i0550001</v>
      </c>
    </row>
    <row r="4181" spans="2:7" ht="11.25" outlineLevel="4" x14ac:dyDescent="0.2">
      <c r="B4181" s="14" t="s">
        <v>7923</v>
      </c>
      <c r="C4181" s="14" t="s">
        <v>7924</v>
      </c>
      <c r="D4181" s="14">
        <v>1</v>
      </c>
      <c r="E4181" s="15">
        <v>133.66</v>
      </c>
      <c r="F4181" s="16" t="s">
        <v>8</v>
      </c>
      <c r="G4181" s="38" t="str">
        <f>HYPERLINK("http://enext.ua/i0550002")</f>
        <v>http://enext.ua/i0550002</v>
      </c>
    </row>
    <row r="4182" spans="2:7" ht="11.25" outlineLevel="4" x14ac:dyDescent="0.2">
      <c r="B4182" s="14" t="s">
        <v>7925</v>
      </c>
      <c r="C4182" s="14" t="s">
        <v>7926</v>
      </c>
      <c r="D4182" s="14">
        <v>1</v>
      </c>
      <c r="E4182" s="15">
        <v>187.12</v>
      </c>
      <c r="F4182" s="16" t="s">
        <v>8</v>
      </c>
      <c r="G4182" s="38" t="str">
        <f>HYPERLINK("http://enext.ua/i0550003")</f>
        <v>http://enext.ua/i0550003</v>
      </c>
    </row>
    <row r="4183" spans="2:7" ht="11.25" outlineLevel="4" x14ac:dyDescent="0.2">
      <c r="B4183" s="14" t="s">
        <v>7927</v>
      </c>
      <c r="C4183" s="14" t="s">
        <v>7928</v>
      </c>
      <c r="D4183" s="14">
        <v>1</v>
      </c>
      <c r="E4183" s="15">
        <v>307.42</v>
      </c>
      <c r="F4183" s="16" t="s">
        <v>8</v>
      </c>
      <c r="G4183" s="38" t="str">
        <f>HYPERLINK("http://enext.ua/i0550004")</f>
        <v>http://enext.ua/i0550004</v>
      </c>
    </row>
    <row r="4184" spans="2:7" ht="11.25" outlineLevel="4" x14ac:dyDescent="0.2">
      <c r="B4184" s="14" t="s">
        <v>7929</v>
      </c>
      <c r="C4184" s="14" t="s">
        <v>7930</v>
      </c>
      <c r="D4184" s="14">
        <v>1</v>
      </c>
      <c r="E4184" s="15">
        <v>321.08</v>
      </c>
      <c r="F4184" s="16" t="s">
        <v>8</v>
      </c>
      <c r="G4184" s="38" t="str">
        <f>HYPERLINK("http://enext.ua/i0550005")</f>
        <v>http://enext.ua/i0550005</v>
      </c>
    </row>
    <row r="4185" spans="2:7" ht="11.25" outlineLevel="4" x14ac:dyDescent="0.2">
      <c r="B4185" s="14" t="s">
        <v>7931</v>
      </c>
      <c r="C4185" s="14" t="s">
        <v>7932</v>
      </c>
      <c r="D4185" s="14">
        <v>1</v>
      </c>
      <c r="E4185" s="15">
        <v>528.83000000000004</v>
      </c>
      <c r="F4185" s="16" t="s">
        <v>8</v>
      </c>
      <c r="G4185" s="38" t="str">
        <f>HYPERLINK("http://enext.ua/i0550006")</f>
        <v>http://enext.ua/i0550006</v>
      </c>
    </row>
    <row r="4186" spans="2:7" ht="12" outlineLevel="3" x14ac:dyDescent="0.2">
      <c r="B4186" s="10"/>
      <c r="C4186" s="36" t="s">
        <v>7933</v>
      </c>
      <c r="D4186" s="10"/>
      <c r="E4186" s="11"/>
      <c r="F4186" s="11"/>
      <c r="G4186" s="10"/>
    </row>
    <row r="4187" spans="2:7" ht="11.25" outlineLevel="4" x14ac:dyDescent="0.2">
      <c r="B4187" s="14" t="s">
        <v>7934</v>
      </c>
      <c r="C4187" s="14" t="s">
        <v>7935</v>
      </c>
      <c r="D4187" s="14">
        <v>1</v>
      </c>
      <c r="E4187" s="15">
        <v>99.37</v>
      </c>
      <c r="F4187" s="16" t="s">
        <v>8</v>
      </c>
      <c r="G4187" s="38" t="str">
        <f>HYPERLINK("http://enext.ua/i0540001")</f>
        <v>http://enext.ua/i0540001</v>
      </c>
    </row>
    <row r="4188" spans="2:7" ht="11.25" outlineLevel="4" x14ac:dyDescent="0.2">
      <c r="B4188" s="14" t="s">
        <v>7936</v>
      </c>
      <c r="C4188" s="14" t="s">
        <v>7937</v>
      </c>
      <c r="D4188" s="14">
        <v>1</v>
      </c>
      <c r="E4188" s="15">
        <v>140.63</v>
      </c>
      <c r="F4188" s="16" t="s">
        <v>8</v>
      </c>
      <c r="G4188" s="38" t="str">
        <f>HYPERLINK("http://enext.ua/i0540002")</f>
        <v>http://enext.ua/i0540002</v>
      </c>
    </row>
    <row r="4189" spans="2:7" ht="11.25" outlineLevel="4" x14ac:dyDescent="0.2">
      <c r="B4189" s="14" t="s">
        <v>7938</v>
      </c>
      <c r="C4189" s="14" t="s">
        <v>7939</v>
      </c>
      <c r="D4189" s="14">
        <v>1</v>
      </c>
      <c r="E4189" s="15">
        <v>181.31</v>
      </c>
      <c r="F4189" s="16" t="s">
        <v>8</v>
      </c>
      <c r="G4189" s="38" t="str">
        <f>HYPERLINK("http://enext.ua/i0540003")</f>
        <v>http://enext.ua/i0540003</v>
      </c>
    </row>
    <row r="4190" spans="2:7" ht="11.25" outlineLevel="4" x14ac:dyDescent="0.2">
      <c r="B4190" s="14" t="s">
        <v>7940</v>
      </c>
      <c r="C4190" s="14" t="s">
        <v>7941</v>
      </c>
      <c r="D4190" s="14">
        <v>1</v>
      </c>
      <c r="E4190" s="15">
        <v>296.38</v>
      </c>
      <c r="F4190" s="16" t="s">
        <v>8</v>
      </c>
      <c r="G4190" s="38" t="str">
        <f>HYPERLINK("http://enext.ua/i0540004")</f>
        <v>http://enext.ua/i0540004</v>
      </c>
    </row>
    <row r="4191" spans="2:7" ht="11.25" outlineLevel="4" x14ac:dyDescent="0.2">
      <c r="B4191" s="14" t="s">
        <v>7942</v>
      </c>
      <c r="C4191" s="14" t="s">
        <v>7943</v>
      </c>
      <c r="D4191" s="14">
        <v>1</v>
      </c>
      <c r="E4191" s="15">
        <v>310.04000000000002</v>
      </c>
      <c r="F4191" s="16" t="s">
        <v>8</v>
      </c>
      <c r="G4191" s="38" t="str">
        <f>HYPERLINK("http://enext.ua/i0540005")</f>
        <v>http://enext.ua/i0540005</v>
      </c>
    </row>
    <row r="4192" spans="2:7" ht="11.25" outlineLevel="4" x14ac:dyDescent="0.2">
      <c r="B4192" s="14" t="s">
        <v>7944</v>
      </c>
      <c r="C4192" s="14" t="s">
        <v>7945</v>
      </c>
      <c r="D4192" s="14">
        <v>1</v>
      </c>
      <c r="E4192" s="15">
        <v>505.58</v>
      </c>
      <c r="F4192" s="16" t="s">
        <v>8</v>
      </c>
      <c r="G4192" s="38" t="str">
        <f>HYPERLINK("http://enext.ua/i0540006")</f>
        <v>http://enext.ua/i0540006</v>
      </c>
    </row>
    <row r="4193" spans="2:7" ht="12" outlineLevel="3" x14ac:dyDescent="0.2">
      <c r="B4193" s="10"/>
      <c r="C4193" s="36" t="s">
        <v>7946</v>
      </c>
      <c r="D4193" s="10"/>
      <c r="E4193" s="11"/>
      <c r="F4193" s="11"/>
      <c r="G4193" s="10"/>
    </row>
    <row r="4194" spans="2:7" ht="11.25" outlineLevel="4" x14ac:dyDescent="0.2">
      <c r="B4194" s="14" t="s">
        <v>7947</v>
      </c>
      <c r="C4194" s="14" t="s">
        <v>7948</v>
      </c>
      <c r="D4194" s="14">
        <v>1</v>
      </c>
      <c r="E4194" s="15">
        <v>114.2</v>
      </c>
      <c r="F4194" s="16" t="s">
        <v>8</v>
      </c>
      <c r="G4194" s="38" t="str">
        <f>HYPERLINK("http://enext.ua/i0560001")</f>
        <v>http://enext.ua/i0560001</v>
      </c>
    </row>
    <row r="4195" spans="2:7" ht="11.25" outlineLevel="4" x14ac:dyDescent="0.2">
      <c r="B4195" s="14" t="s">
        <v>7949</v>
      </c>
      <c r="C4195" s="14" t="s">
        <v>7950</v>
      </c>
      <c r="D4195" s="14">
        <v>1</v>
      </c>
      <c r="E4195" s="15">
        <v>201.43</v>
      </c>
      <c r="F4195" s="16" t="s">
        <v>8</v>
      </c>
      <c r="G4195" s="38" t="str">
        <f>HYPERLINK("http://enext.ua/i0560002")</f>
        <v>http://enext.ua/i0560002</v>
      </c>
    </row>
    <row r="4196" spans="2:7" ht="11.25" outlineLevel="4" x14ac:dyDescent="0.2">
      <c r="B4196" s="14" t="s">
        <v>7951</v>
      </c>
      <c r="C4196" s="14" t="s">
        <v>7952</v>
      </c>
      <c r="D4196" s="14">
        <v>1</v>
      </c>
      <c r="E4196" s="15">
        <v>211.25</v>
      </c>
      <c r="F4196" s="16" t="s">
        <v>8</v>
      </c>
      <c r="G4196" s="38" t="str">
        <f>HYPERLINK("http://enext.ua/i0560003")</f>
        <v>http://enext.ua/i0560003</v>
      </c>
    </row>
    <row r="4197" spans="2:7" ht="11.25" outlineLevel="4" x14ac:dyDescent="0.2">
      <c r="B4197" s="14" t="s">
        <v>7953</v>
      </c>
      <c r="C4197" s="14" t="s">
        <v>7954</v>
      </c>
      <c r="D4197" s="14">
        <v>1</v>
      </c>
      <c r="E4197" s="15">
        <v>344.91</v>
      </c>
      <c r="F4197" s="16" t="s">
        <v>8</v>
      </c>
      <c r="G4197" s="38" t="str">
        <f>HYPERLINK("http://enext.ua/i0560004")</f>
        <v>http://enext.ua/i0560004</v>
      </c>
    </row>
    <row r="4198" spans="2:7" ht="11.25" outlineLevel="4" x14ac:dyDescent="0.2">
      <c r="B4198" s="14" t="s">
        <v>7955</v>
      </c>
      <c r="C4198" s="14" t="s">
        <v>7956</v>
      </c>
      <c r="D4198" s="14">
        <v>1</v>
      </c>
      <c r="E4198" s="15">
        <v>373.96</v>
      </c>
      <c r="F4198" s="16" t="s">
        <v>8</v>
      </c>
      <c r="G4198" s="38" t="str">
        <f>HYPERLINK("http://enext.ua/i0560005")</f>
        <v>http://enext.ua/i0560005</v>
      </c>
    </row>
    <row r="4199" spans="2:7" ht="11.25" outlineLevel="4" x14ac:dyDescent="0.2">
      <c r="B4199" s="14" t="s">
        <v>7957</v>
      </c>
      <c r="C4199" s="14" t="s">
        <v>7958</v>
      </c>
      <c r="D4199" s="14">
        <v>1</v>
      </c>
      <c r="E4199" s="15">
        <v>771.45</v>
      </c>
      <c r="F4199" s="16" t="s">
        <v>8</v>
      </c>
      <c r="G4199" s="38" t="str">
        <f>HYPERLINK("http://enext.ua/i0560006")</f>
        <v>http://enext.ua/i0560006</v>
      </c>
    </row>
    <row r="4200" spans="2:7" ht="12" outlineLevel="3" x14ac:dyDescent="0.2">
      <c r="B4200" s="10"/>
      <c r="C4200" s="36" t="s">
        <v>7959</v>
      </c>
      <c r="D4200" s="10"/>
      <c r="E4200" s="11"/>
      <c r="F4200" s="11"/>
      <c r="G4200" s="10"/>
    </row>
    <row r="4201" spans="2:7" ht="22.5" outlineLevel="4" x14ac:dyDescent="0.2">
      <c r="B4201" s="14" t="s">
        <v>7960</v>
      </c>
      <c r="C4201" s="14" t="s">
        <v>7961</v>
      </c>
      <c r="D4201" s="14">
        <v>1</v>
      </c>
      <c r="E4201" s="15">
        <v>98.21</v>
      </c>
      <c r="F4201" s="16" t="s">
        <v>8</v>
      </c>
      <c r="G4201" s="38" t="str">
        <f>HYPERLINK("http://enext.ua/i0520001")</f>
        <v>http://enext.ua/i0520001</v>
      </c>
    </row>
    <row r="4202" spans="2:7" ht="22.5" outlineLevel="4" x14ac:dyDescent="0.2">
      <c r="B4202" s="14" t="s">
        <v>7962</v>
      </c>
      <c r="C4202" s="14" t="s">
        <v>7963</v>
      </c>
      <c r="D4202" s="14">
        <v>1</v>
      </c>
      <c r="E4202" s="15">
        <v>87.75</v>
      </c>
      <c r="F4202" s="16" t="s">
        <v>8</v>
      </c>
      <c r="G4202" s="38" t="str">
        <f>HYPERLINK("http://enext.ua/i0520002")</f>
        <v>http://enext.ua/i0520002</v>
      </c>
    </row>
    <row r="4203" spans="2:7" ht="12" outlineLevel="3" x14ac:dyDescent="0.2">
      <c r="B4203" s="10"/>
      <c r="C4203" s="36" t="s">
        <v>7964</v>
      </c>
      <c r="D4203" s="10"/>
      <c r="E4203" s="11"/>
      <c r="F4203" s="11"/>
      <c r="G4203" s="10"/>
    </row>
    <row r="4204" spans="2:7" ht="11.25" outlineLevel="4" x14ac:dyDescent="0.2">
      <c r="B4204" s="14" t="s">
        <v>7965</v>
      </c>
      <c r="C4204" s="14" t="s">
        <v>7966</v>
      </c>
      <c r="D4204" s="14">
        <v>1</v>
      </c>
      <c r="E4204" s="15">
        <v>51.14</v>
      </c>
      <c r="F4204" s="16" t="s">
        <v>8</v>
      </c>
      <c r="G4204" s="38" t="str">
        <f>HYPERLINK("http://enext.ua/i0530009")</f>
        <v>http://enext.ua/i0530009</v>
      </c>
    </row>
    <row r="4205" spans="2:7" ht="11.25" outlineLevel="4" x14ac:dyDescent="0.2">
      <c r="B4205" s="14" t="s">
        <v>7967</v>
      </c>
      <c r="C4205" s="14" t="s">
        <v>7968</v>
      </c>
      <c r="D4205" s="14">
        <v>1</v>
      </c>
      <c r="E4205" s="15">
        <v>51.72</v>
      </c>
      <c r="F4205" s="16" t="s">
        <v>8</v>
      </c>
      <c r="G4205" s="38" t="str">
        <f>HYPERLINK("http://enext.ua/i0530012")</f>
        <v>http://enext.ua/i0530012</v>
      </c>
    </row>
    <row r="4206" spans="2:7" ht="22.5" outlineLevel="4" x14ac:dyDescent="0.2">
      <c r="B4206" s="14" t="s">
        <v>7969</v>
      </c>
      <c r="C4206" s="14" t="s">
        <v>7970</v>
      </c>
      <c r="D4206" s="14">
        <v>1</v>
      </c>
      <c r="E4206" s="15">
        <v>242.63</v>
      </c>
      <c r="F4206" s="16" t="s">
        <v>8</v>
      </c>
      <c r="G4206" s="38" t="str">
        <f>HYPERLINK("http://enext.ua/i0530010")</f>
        <v>http://enext.ua/i0530010</v>
      </c>
    </row>
    <row r="4207" spans="2:7" ht="22.5" outlineLevel="4" x14ac:dyDescent="0.2">
      <c r="B4207" s="14" t="s">
        <v>7971</v>
      </c>
      <c r="C4207" s="14" t="s">
        <v>7972</v>
      </c>
      <c r="D4207" s="14">
        <v>1</v>
      </c>
      <c r="E4207" s="15">
        <v>242.63</v>
      </c>
      <c r="F4207" s="16" t="s">
        <v>8</v>
      </c>
      <c r="G4207" s="38" t="str">
        <f>HYPERLINK("http://enext.ua/i0530011")</f>
        <v>http://enext.ua/i0530011</v>
      </c>
    </row>
    <row r="4208" spans="2:7" ht="22.5" outlineLevel="4" x14ac:dyDescent="0.2">
      <c r="B4208" s="14" t="s">
        <v>7973</v>
      </c>
      <c r="C4208" s="14" t="s">
        <v>7974</v>
      </c>
      <c r="D4208" s="14">
        <v>1</v>
      </c>
      <c r="E4208" s="15">
        <v>245.53</v>
      </c>
      <c r="F4208" s="16" t="s">
        <v>8</v>
      </c>
      <c r="G4208" s="38" t="str">
        <f>HYPERLINK("http://enext.ua/i0530001")</f>
        <v>http://enext.ua/i0530001</v>
      </c>
    </row>
    <row r="4209" spans="2:7" ht="22.5" outlineLevel="4" x14ac:dyDescent="0.2">
      <c r="B4209" s="14" t="s">
        <v>7975</v>
      </c>
      <c r="C4209" s="14" t="s">
        <v>7976</v>
      </c>
      <c r="D4209" s="14">
        <v>10</v>
      </c>
      <c r="E4209" s="15">
        <v>247.86</v>
      </c>
      <c r="F4209" s="16" t="s">
        <v>8</v>
      </c>
      <c r="G4209" s="38" t="str">
        <f>HYPERLINK("http://enext.ua/i0530002")</f>
        <v>http://enext.ua/i0530002</v>
      </c>
    </row>
    <row r="4210" spans="2:7" ht="22.5" outlineLevel="4" x14ac:dyDescent="0.2">
      <c r="B4210" s="14" t="s">
        <v>7977</v>
      </c>
      <c r="C4210" s="14" t="s">
        <v>7978</v>
      </c>
      <c r="D4210" s="14">
        <v>1</v>
      </c>
      <c r="E4210" s="15">
        <v>278.36</v>
      </c>
      <c r="F4210" s="16" t="s">
        <v>8</v>
      </c>
      <c r="G4210" s="38" t="str">
        <f>HYPERLINK("http://enext.ua/i0530003")</f>
        <v>http://enext.ua/i0530003</v>
      </c>
    </row>
    <row r="4211" spans="2:7" ht="22.5" outlineLevel="4" x14ac:dyDescent="0.2">
      <c r="B4211" s="14" t="s">
        <v>7979</v>
      </c>
      <c r="C4211" s="14" t="s">
        <v>7980</v>
      </c>
      <c r="D4211" s="14">
        <v>1</v>
      </c>
      <c r="E4211" s="15">
        <v>293.77</v>
      </c>
      <c r="F4211" s="16" t="s">
        <v>8</v>
      </c>
      <c r="G4211" s="38" t="str">
        <f>HYPERLINK("http://enext.ua/i0530004")</f>
        <v>http://enext.ua/i0530004</v>
      </c>
    </row>
    <row r="4212" spans="2:7" ht="22.5" outlineLevel="4" x14ac:dyDescent="0.2">
      <c r="B4212" s="14" t="s">
        <v>7981</v>
      </c>
      <c r="C4212" s="14" t="s">
        <v>7982</v>
      </c>
      <c r="D4212" s="14">
        <v>1</v>
      </c>
      <c r="E4212" s="15">
        <v>288.54000000000002</v>
      </c>
      <c r="F4212" s="16" t="s">
        <v>8</v>
      </c>
      <c r="G4212" s="38" t="str">
        <f>HYPERLINK("http://enext.ua/i0530005")</f>
        <v>http://enext.ua/i0530005</v>
      </c>
    </row>
    <row r="4213" spans="2:7" ht="22.5" outlineLevel="4" x14ac:dyDescent="0.2">
      <c r="B4213" s="14" t="s">
        <v>7983</v>
      </c>
      <c r="C4213" s="14" t="s">
        <v>7984</v>
      </c>
      <c r="D4213" s="14">
        <v>1</v>
      </c>
      <c r="E4213" s="15">
        <v>301.61</v>
      </c>
      <c r="F4213" s="16" t="s">
        <v>8</v>
      </c>
      <c r="G4213" s="38" t="str">
        <f>HYPERLINK("http://enext.ua/i0530006")</f>
        <v>http://enext.ua/i0530006</v>
      </c>
    </row>
    <row r="4214" spans="2:7" ht="22.5" outlineLevel="4" x14ac:dyDescent="0.2">
      <c r="B4214" s="14" t="s">
        <v>7985</v>
      </c>
      <c r="C4214" s="14" t="s">
        <v>7986</v>
      </c>
      <c r="D4214" s="14">
        <v>1</v>
      </c>
      <c r="E4214" s="15">
        <v>300.16000000000003</v>
      </c>
      <c r="F4214" s="16" t="s">
        <v>8</v>
      </c>
      <c r="G4214" s="38" t="str">
        <f>HYPERLINK("http://enext.ua/i0530007")</f>
        <v>http://enext.ua/i0530007</v>
      </c>
    </row>
    <row r="4215" spans="2:7" ht="22.5" outlineLevel="4" x14ac:dyDescent="0.2">
      <c r="B4215" s="14" t="s">
        <v>7987</v>
      </c>
      <c r="C4215" s="14" t="s">
        <v>7988</v>
      </c>
      <c r="D4215" s="14">
        <v>1</v>
      </c>
      <c r="E4215" s="15">
        <v>317.58999999999997</v>
      </c>
      <c r="F4215" s="16" t="s">
        <v>8</v>
      </c>
      <c r="G4215" s="38" t="str">
        <f>HYPERLINK("http://enext.ua/i0530008")</f>
        <v>http://enext.ua/i0530008</v>
      </c>
    </row>
    <row r="4216" spans="2:7" ht="12" outlineLevel="3" x14ac:dyDescent="0.2">
      <c r="B4216" s="10"/>
      <c r="C4216" s="36" t="s">
        <v>7989</v>
      </c>
      <c r="D4216" s="10"/>
      <c r="E4216" s="11"/>
      <c r="F4216" s="11"/>
      <c r="G4216" s="10"/>
    </row>
    <row r="4217" spans="2:7" ht="11.25" outlineLevel="4" x14ac:dyDescent="0.2">
      <c r="B4217" s="14" t="s">
        <v>7990</v>
      </c>
      <c r="C4217" s="14" t="s">
        <v>7991</v>
      </c>
      <c r="D4217" s="14">
        <v>1</v>
      </c>
      <c r="E4217" s="15">
        <v>10.18</v>
      </c>
      <c r="F4217" s="16" t="s">
        <v>8</v>
      </c>
      <c r="G4217" s="38" t="str">
        <f>HYPERLINK("http://enext.ua/i0570001")</f>
        <v>http://enext.ua/i0570001</v>
      </c>
    </row>
    <row r="4218" spans="2:7" ht="11.25" outlineLevel="4" x14ac:dyDescent="0.2">
      <c r="B4218" s="14" t="s">
        <v>7992</v>
      </c>
      <c r="C4218" s="14" t="s">
        <v>7993</v>
      </c>
      <c r="D4218" s="14">
        <v>1</v>
      </c>
      <c r="E4218" s="15">
        <v>13.08</v>
      </c>
      <c r="F4218" s="16" t="s">
        <v>8</v>
      </c>
      <c r="G4218" s="38" t="str">
        <f>HYPERLINK("http://enext.ua/i0570002")</f>
        <v>http://enext.ua/i0570002</v>
      </c>
    </row>
    <row r="4219" spans="2:7" ht="12" outlineLevel="3" x14ac:dyDescent="0.2">
      <c r="B4219" s="10"/>
      <c r="C4219" s="36" t="s">
        <v>7994</v>
      </c>
      <c r="D4219" s="10"/>
      <c r="E4219" s="11"/>
      <c r="F4219" s="11"/>
      <c r="G4219" s="10"/>
    </row>
    <row r="4220" spans="2:7" ht="11.25" outlineLevel="4" x14ac:dyDescent="0.2">
      <c r="B4220" s="14" t="s">
        <v>7995</v>
      </c>
      <c r="C4220" s="14" t="s">
        <v>7996</v>
      </c>
      <c r="D4220" s="14">
        <v>1</v>
      </c>
      <c r="E4220" s="15">
        <v>16.850000000000001</v>
      </c>
      <c r="F4220" s="16" t="s">
        <v>8</v>
      </c>
      <c r="G4220" s="38" t="str">
        <f>HYPERLINK("http://enext.ua/i0470001")</f>
        <v>http://enext.ua/i0470001</v>
      </c>
    </row>
    <row r="4221" spans="2:7" ht="11.25" outlineLevel="4" x14ac:dyDescent="0.2">
      <c r="B4221" s="14" t="s">
        <v>7997</v>
      </c>
      <c r="C4221" s="14" t="s">
        <v>7998</v>
      </c>
      <c r="D4221" s="14">
        <v>1</v>
      </c>
      <c r="E4221" s="15">
        <v>18.02</v>
      </c>
      <c r="F4221" s="16" t="s">
        <v>8</v>
      </c>
      <c r="G4221" s="38" t="str">
        <f>HYPERLINK("http://enext.ua/i0470002")</f>
        <v>http://enext.ua/i0470002</v>
      </c>
    </row>
    <row r="4222" spans="2:7" ht="11.25" outlineLevel="4" x14ac:dyDescent="0.2">
      <c r="B4222" s="14" t="s">
        <v>7999</v>
      </c>
      <c r="C4222" s="14" t="s">
        <v>8000</v>
      </c>
      <c r="D4222" s="14">
        <v>1</v>
      </c>
      <c r="E4222" s="15">
        <v>18.600000000000001</v>
      </c>
      <c r="F4222" s="16" t="s">
        <v>8</v>
      </c>
      <c r="G4222" s="38" t="str">
        <f>HYPERLINK("http://enext.ua/i0470003")</f>
        <v>http://enext.ua/i0470003</v>
      </c>
    </row>
    <row r="4223" spans="2:7" ht="11.25" outlineLevel="4" x14ac:dyDescent="0.2">
      <c r="B4223" s="14" t="s">
        <v>8001</v>
      </c>
      <c r="C4223" s="14" t="s">
        <v>8002</v>
      </c>
      <c r="D4223" s="14">
        <v>1</v>
      </c>
      <c r="E4223" s="15">
        <v>34.29</v>
      </c>
      <c r="F4223" s="16" t="s">
        <v>8</v>
      </c>
      <c r="G4223" s="38" t="str">
        <f>HYPERLINK("http://enext.ua/i0470005")</f>
        <v>http://enext.ua/i0470005</v>
      </c>
    </row>
    <row r="4224" spans="2:7" ht="11.25" outlineLevel="4" x14ac:dyDescent="0.2">
      <c r="B4224" s="14" t="s">
        <v>8003</v>
      </c>
      <c r="C4224" s="14" t="s">
        <v>8004</v>
      </c>
      <c r="D4224" s="14">
        <v>1</v>
      </c>
      <c r="E4224" s="15">
        <v>29.06</v>
      </c>
      <c r="F4224" s="16" t="s">
        <v>8</v>
      </c>
      <c r="G4224" s="38" t="str">
        <f>HYPERLINK("http://enext.ua/i0470004")</f>
        <v>http://enext.ua/i0470004</v>
      </c>
    </row>
    <row r="4225" spans="2:7" ht="11.25" outlineLevel="4" x14ac:dyDescent="0.2">
      <c r="B4225" s="14" t="s">
        <v>8005</v>
      </c>
      <c r="C4225" s="14" t="s">
        <v>8006</v>
      </c>
      <c r="D4225" s="14">
        <v>1</v>
      </c>
      <c r="E4225" s="15">
        <v>46.86</v>
      </c>
      <c r="F4225" s="16" t="s">
        <v>8</v>
      </c>
      <c r="G4225" s="38" t="str">
        <f>HYPERLINK("http://enext.ua/i0470006")</f>
        <v>http://enext.ua/i0470006</v>
      </c>
    </row>
    <row r="4226" spans="2:7" ht="12" outlineLevel="3" x14ac:dyDescent="0.2">
      <c r="B4226" s="10"/>
      <c r="C4226" s="36" t="s">
        <v>8007</v>
      </c>
      <c r="D4226" s="10"/>
      <c r="E4226" s="11"/>
      <c r="F4226" s="11"/>
      <c r="G4226" s="10"/>
    </row>
    <row r="4227" spans="2:7" ht="22.5" outlineLevel="4" x14ac:dyDescent="0.2">
      <c r="B4227" s="14" t="s">
        <v>8008</v>
      </c>
      <c r="C4227" s="14" t="s">
        <v>8009</v>
      </c>
      <c r="D4227" s="14">
        <v>1</v>
      </c>
      <c r="E4227" s="15">
        <v>607</v>
      </c>
      <c r="F4227" s="16" t="s">
        <v>8</v>
      </c>
      <c r="G4227" s="38" t="str">
        <f>HYPERLINK("http://enext.ua/i0490001")</f>
        <v>http://enext.ua/i0490001</v>
      </c>
    </row>
    <row r="4228" spans="2:7" ht="12" outlineLevel="3" x14ac:dyDescent="0.2">
      <c r="B4228" s="10"/>
      <c r="C4228" s="36" t="s">
        <v>8010</v>
      </c>
      <c r="D4228" s="10"/>
      <c r="E4228" s="11"/>
      <c r="F4228" s="11"/>
      <c r="G4228" s="10"/>
    </row>
    <row r="4229" spans="2:7" ht="11.25" outlineLevel="4" x14ac:dyDescent="0.2">
      <c r="B4229" s="14" t="s">
        <v>8011</v>
      </c>
      <c r="C4229" s="14" t="s">
        <v>8012</v>
      </c>
      <c r="D4229" s="14">
        <v>1</v>
      </c>
      <c r="E4229" s="15">
        <v>14.24</v>
      </c>
      <c r="F4229" s="16" t="s">
        <v>8</v>
      </c>
      <c r="G4229" s="38" t="str">
        <f>HYPERLINK("http://enext.ua/i0500001")</f>
        <v>http://enext.ua/i0500001</v>
      </c>
    </row>
    <row r="4230" spans="2:7" ht="11.25" outlineLevel="4" x14ac:dyDescent="0.2">
      <c r="B4230" s="14" t="s">
        <v>8013</v>
      </c>
      <c r="C4230" s="14" t="s">
        <v>8014</v>
      </c>
      <c r="D4230" s="14">
        <v>1</v>
      </c>
      <c r="E4230" s="15">
        <v>18.02</v>
      </c>
      <c r="F4230" s="16" t="s">
        <v>8</v>
      </c>
      <c r="G4230" s="38" t="str">
        <f>HYPERLINK("http://enext.ua/i0500002")</f>
        <v>http://enext.ua/i0500002</v>
      </c>
    </row>
    <row r="4231" spans="2:7" ht="11.25" outlineLevel="4" x14ac:dyDescent="0.2">
      <c r="B4231" s="14" t="s">
        <v>8015</v>
      </c>
      <c r="C4231" s="14" t="s">
        <v>8016</v>
      </c>
      <c r="D4231" s="14">
        <v>1</v>
      </c>
      <c r="E4231" s="15">
        <v>20.05</v>
      </c>
      <c r="F4231" s="16" t="s">
        <v>8</v>
      </c>
      <c r="G4231" s="38" t="str">
        <f>HYPERLINK("http://enext.ua/i0500003")</f>
        <v>http://enext.ua/i0500003</v>
      </c>
    </row>
    <row r="4232" spans="2:7" ht="11.25" outlineLevel="4" x14ac:dyDescent="0.2">
      <c r="B4232" s="14" t="s">
        <v>8017</v>
      </c>
      <c r="C4232" s="14" t="s">
        <v>8018</v>
      </c>
      <c r="D4232" s="14">
        <v>1</v>
      </c>
      <c r="E4232" s="15">
        <v>26.45</v>
      </c>
      <c r="F4232" s="16" t="s">
        <v>8</v>
      </c>
      <c r="G4232" s="38" t="str">
        <f>HYPERLINK("http://enext.ua/i0500005")</f>
        <v>http://enext.ua/i0500005</v>
      </c>
    </row>
    <row r="4233" spans="2:7" ht="11.25" outlineLevel="4" x14ac:dyDescent="0.2">
      <c r="B4233" s="14" t="s">
        <v>8019</v>
      </c>
      <c r="C4233" s="14" t="s">
        <v>8020</v>
      </c>
      <c r="D4233" s="14">
        <v>1</v>
      </c>
      <c r="E4233" s="15">
        <v>21.8</v>
      </c>
      <c r="F4233" s="16" t="s">
        <v>8</v>
      </c>
      <c r="G4233" s="38" t="str">
        <f>HYPERLINK("http://enext.ua/i0500004")</f>
        <v>http://enext.ua/i0500004</v>
      </c>
    </row>
    <row r="4234" spans="2:7" ht="11.25" outlineLevel="4" x14ac:dyDescent="0.2">
      <c r="B4234" s="14" t="s">
        <v>8021</v>
      </c>
      <c r="C4234" s="14" t="s">
        <v>8022</v>
      </c>
      <c r="D4234" s="14">
        <v>1</v>
      </c>
      <c r="E4234" s="15">
        <v>32.26</v>
      </c>
      <c r="F4234" s="16" t="s">
        <v>8</v>
      </c>
      <c r="G4234" s="38" t="str">
        <f>HYPERLINK("http://enext.ua/i0500006")</f>
        <v>http://enext.ua/i0500006</v>
      </c>
    </row>
    <row r="4235" spans="2:7" ht="12" outlineLevel="3" x14ac:dyDescent="0.2">
      <c r="B4235" s="10"/>
      <c r="C4235" s="36" t="s">
        <v>8023</v>
      </c>
      <c r="D4235" s="10"/>
      <c r="E4235" s="11"/>
      <c r="F4235" s="11"/>
      <c r="G4235" s="10"/>
    </row>
    <row r="4236" spans="2:7" ht="11.25" outlineLevel="4" x14ac:dyDescent="0.2">
      <c r="B4236" s="14" t="s">
        <v>8024</v>
      </c>
      <c r="C4236" s="14" t="s">
        <v>8025</v>
      </c>
      <c r="D4236" s="14">
        <v>1</v>
      </c>
      <c r="E4236" s="17">
        <v>1083.53</v>
      </c>
      <c r="F4236" s="16" t="s">
        <v>8</v>
      </c>
      <c r="G4236" s="38" t="str">
        <f>HYPERLINK("http://enext.ua/i0510001")</f>
        <v>http://enext.ua/i0510001</v>
      </c>
    </row>
    <row r="4237" spans="2:7" ht="11.25" outlineLevel="4" x14ac:dyDescent="0.2">
      <c r="B4237" s="14" t="s">
        <v>8026</v>
      </c>
      <c r="C4237" s="14" t="s">
        <v>8027</v>
      </c>
      <c r="D4237" s="14">
        <v>1</v>
      </c>
      <c r="E4237" s="17">
        <v>1524.31</v>
      </c>
      <c r="F4237" s="16" t="s">
        <v>8</v>
      </c>
      <c r="G4237" s="38" t="str">
        <f>HYPERLINK("http://enext.ua/i0510002")</f>
        <v>http://enext.ua/i0510002</v>
      </c>
    </row>
    <row r="4238" spans="2:7" ht="11.25" outlineLevel="4" x14ac:dyDescent="0.2">
      <c r="B4238" s="14" t="s">
        <v>8028</v>
      </c>
      <c r="C4238" s="14" t="s">
        <v>8029</v>
      </c>
      <c r="D4238" s="14">
        <v>1</v>
      </c>
      <c r="E4238" s="17">
        <v>2763</v>
      </c>
      <c r="F4238" s="16" t="s">
        <v>8</v>
      </c>
      <c r="G4238" s="38" t="str">
        <f>HYPERLINK("http://enext.ua/i0510003")</f>
        <v>http://enext.ua/i0510003</v>
      </c>
    </row>
    <row r="4239" spans="2:7" ht="12" outlineLevel="2" x14ac:dyDescent="0.2">
      <c r="B4239" s="8"/>
      <c r="C4239" s="35" t="s">
        <v>8030</v>
      </c>
      <c r="D4239" s="8"/>
      <c r="E4239" s="9"/>
      <c r="F4239" s="9"/>
      <c r="G4239" s="8"/>
    </row>
    <row r="4240" spans="2:7" ht="12" outlineLevel="3" x14ac:dyDescent="0.2">
      <c r="B4240" s="10"/>
      <c r="C4240" s="36" t="s">
        <v>8031</v>
      </c>
      <c r="D4240" s="10"/>
      <c r="E4240" s="11"/>
      <c r="F4240" s="11"/>
      <c r="G4240" s="10"/>
    </row>
    <row r="4241" spans="2:7" ht="11.25" outlineLevel="4" x14ac:dyDescent="0.2">
      <c r="B4241" s="14" t="s">
        <v>8032</v>
      </c>
      <c r="C4241" s="14" t="s">
        <v>8033</v>
      </c>
      <c r="D4241" s="14">
        <v>1</v>
      </c>
      <c r="E4241" s="15">
        <v>26.68</v>
      </c>
      <c r="F4241" s="16" t="s">
        <v>4214</v>
      </c>
      <c r="G4241" s="38" t="str">
        <f>HYPERLINK("http://enext.ua/Cover100")</f>
        <v>http://enext.ua/Cover100</v>
      </c>
    </row>
    <row r="4242" spans="2:7" ht="11.25" outlineLevel="4" x14ac:dyDescent="0.2">
      <c r="B4242" s="14" t="s">
        <v>8034</v>
      </c>
      <c r="C4242" s="14" t="s">
        <v>8035</v>
      </c>
      <c r="D4242" s="14">
        <v>1</v>
      </c>
      <c r="E4242" s="15">
        <v>110.47</v>
      </c>
      <c r="F4242" s="16" t="s">
        <v>4214</v>
      </c>
      <c r="G4242" s="38" t="str">
        <f>HYPERLINK("http://enext.ua/Cover160")</f>
        <v>http://enext.ua/Cover160</v>
      </c>
    </row>
    <row r="4243" spans="2:7" ht="11.25" outlineLevel="4" x14ac:dyDescent="0.2">
      <c r="B4243" s="14" t="s">
        <v>8036</v>
      </c>
      <c r="C4243" s="14" t="s">
        <v>8037</v>
      </c>
      <c r="D4243" s="14">
        <v>1</v>
      </c>
      <c r="E4243" s="15">
        <v>50.2</v>
      </c>
      <c r="F4243" s="16" t="s">
        <v>4214</v>
      </c>
      <c r="G4243" s="38" t="str">
        <f>HYPERLINK("http://enext.ua/Cover200")</f>
        <v>http://enext.ua/Cover200</v>
      </c>
    </row>
    <row r="4244" spans="2:7" ht="11.25" outlineLevel="4" x14ac:dyDescent="0.2">
      <c r="B4244" s="14" t="s">
        <v>8038</v>
      </c>
      <c r="C4244" s="14" t="s">
        <v>8039</v>
      </c>
      <c r="D4244" s="14">
        <v>1</v>
      </c>
      <c r="E4244" s="15">
        <v>13.08</v>
      </c>
      <c r="F4244" s="16" t="s">
        <v>4214</v>
      </c>
      <c r="G4244" s="14"/>
    </row>
    <row r="4245" spans="2:7" ht="11.25" outlineLevel="4" x14ac:dyDescent="0.2">
      <c r="B4245" s="14" t="s">
        <v>8040</v>
      </c>
      <c r="C4245" s="14" t="s">
        <v>8041</v>
      </c>
      <c r="D4245" s="14">
        <v>1</v>
      </c>
      <c r="E4245" s="15">
        <v>9.36</v>
      </c>
      <c r="F4245" s="16" t="s">
        <v>8</v>
      </c>
      <c r="G4245" s="14"/>
    </row>
    <row r="4246" spans="2:7" ht="12" outlineLevel="3" x14ac:dyDescent="0.2">
      <c r="B4246" s="10"/>
      <c r="C4246" s="36" t="s">
        <v>8042</v>
      </c>
      <c r="D4246" s="10"/>
      <c r="E4246" s="11"/>
      <c r="F4246" s="11"/>
      <c r="G4246" s="10"/>
    </row>
    <row r="4247" spans="2:7" ht="12" outlineLevel="4" x14ac:dyDescent="0.2">
      <c r="B4247" s="12"/>
      <c r="C4247" s="37" t="s">
        <v>8043</v>
      </c>
      <c r="D4247" s="12"/>
      <c r="E4247" s="13"/>
      <c r="F4247" s="13"/>
      <c r="G4247" s="12"/>
    </row>
    <row r="4248" spans="2:7" ht="11.25" outlineLevel="5" x14ac:dyDescent="0.2">
      <c r="B4248" s="14" t="s">
        <v>8044</v>
      </c>
      <c r="C4248" s="14" t="s">
        <v>8045</v>
      </c>
      <c r="D4248" s="14">
        <v>1</v>
      </c>
      <c r="E4248" s="15">
        <v>87.45</v>
      </c>
      <c r="F4248" s="16" t="s">
        <v>4214</v>
      </c>
      <c r="G4248" s="38" t="str">
        <f>HYPERLINK("http://enext.ua/ATK-05-04")</f>
        <v>http://enext.ua/ATK-05-04</v>
      </c>
    </row>
    <row r="4249" spans="2:7" ht="11.25" outlineLevel="5" x14ac:dyDescent="0.2">
      <c r="B4249" s="14" t="s">
        <v>8046</v>
      </c>
      <c r="C4249" s="14" t="s">
        <v>8047</v>
      </c>
      <c r="D4249" s="14">
        <v>1</v>
      </c>
      <c r="E4249" s="15">
        <v>127.33</v>
      </c>
      <c r="F4249" s="16" t="s">
        <v>4214</v>
      </c>
      <c r="G4249" s="38" t="str">
        <f>HYPERLINK("http://enext.ua/ATK-07-04")</f>
        <v>http://enext.ua/ATK-07-04</v>
      </c>
    </row>
    <row r="4250" spans="2:7" ht="11.25" outlineLevel="5" x14ac:dyDescent="0.2">
      <c r="B4250" s="14" t="s">
        <v>8048</v>
      </c>
      <c r="C4250" s="14" t="s">
        <v>8049</v>
      </c>
      <c r="D4250" s="14">
        <v>1</v>
      </c>
      <c r="E4250" s="15">
        <v>129.80000000000001</v>
      </c>
      <c r="F4250" s="16" t="s">
        <v>4214</v>
      </c>
      <c r="G4250" s="38" t="str">
        <f>HYPERLINK("http://enext.ua/ATK-10-04")</f>
        <v>http://enext.ua/ATK-10-04</v>
      </c>
    </row>
    <row r="4251" spans="2:7" ht="11.25" outlineLevel="5" x14ac:dyDescent="0.2">
      <c r="B4251" s="14" t="s">
        <v>8050</v>
      </c>
      <c r="C4251" s="14" t="s">
        <v>8051</v>
      </c>
      <c r="D4251" s="14">
        <v>1</v>
      </c>
      <c r="E4251" s="15">
        <v>130.35</v>
      </c>
      <c r="F4251" s="16" t="s">
        <v>4214</v>
      </c>
      <c r="G4251" s="38" t="str">
        <f>HYPERLINK("http://enext.ua/ATK-15-04")</f>
        <v>http://enext.ua/ATK-15-04</v>
      </c>
    </row>
    <row r="4252" spans="2:7" ht="11.25" outlineLevel="5" x14ac:dyDescent="0.2">
      <c r="B4252" s="14" t="s">
        <v>8052</v>
      </c>
      <c r="C4252" s="14" t="s">
        <v>8053</v>
      </c>
      <c r="D4252" s="14">
        <v>1</v>
      </c>
      <c r="E4252" s="15">
        <v>170.5</v>
      </c>
      <c r="F4252" s="16" t="s">
        <v>4214</v>
      </c>
      <c r="G4252" s="38" t="str">
        <f>HYPERLINK("http://enext.ua/ATK-20-04")</f>
        <v>http://enext.ua/ATK-20-04</v>
      </c>
    </row>
    <row r="4253" spans="2:7" ht="11.25" outlineLevel="5" x14ac:dyDescent="0.2">
      <c r="B4253" s="14" t="s">
        <v>8054</v>
      </c>
      <c r="C4253" s="14" t="s">
        <v>8055</v>
      </c>
      <c r="D4253" s="14">
        <v>1</v>
      </c>
      <c r="E4253" s="15">
        <v>196.9</v>
      </c>
      <c r="F4253" s="16" t="s">
        <v>4214</v>
      </c>
      <c r="G4253" s="38" t="str">
        <f>HYPERLINK("http://enext.ua/ATK-30-04")</f>
        <v>http://enext.ua/ATK-30-04</v>
      </c>
    </row>
    <row r="4254" spans="2:7" ht="11.25" outlineLevel="5" x14ac:dyDescent="0.2">
      <c r="B4254" s="14" t="s">
        <v>8056</v>
      </c>
      <c r="C4254" s="14" t="s">
        <v>8057</v>
      </c>
      <c r="D4254" s="14">
        <v>1</v>
      </c>
      <c r="E4254" s="15">
        <v>347.33</v>
      </c>
      <c r="F4254" s="16" t="s">
        <v>4214</v>
      </c>
      <c r="G4254" s="38" t="str">
        <f>HYPERLINK("http://enext.ua/ATK-40-05")</f>
        <v>http://enext.ua/ATK-40-05</v>
      </c>
    </row>
    <row r="4255" spans="2:7" ht="11.25" outlineLevel="5" x14ac:dyDescent="0.2">
      <c r="B4255" s="14" t="s">
        <v>8058</v>
      </c>
      <c r="C4255" s="14" t="s">
        <v>8059</v>
      </c>
      <c r="D4255" s="14">
        <v>1</v>
      </c>
      <c r="E4255" s="15">
        <v>417.45</v>
      </c>
      <c r="F4255" s="16" t="s">
        <v>4214</v>
      </c>
      <c r="G4255" s="38" t="str">
        <f>HYPERLINK("http://enext.ua/ATK-50-05")</f>
        <v>http://enext.ua/ATK-50-05</v>
      </c>
    </row>
    <row r="4256" spans="2:7" ht="11.25" outlineLevel="5" x14ac:dyDescent="0.2">
      <c r="B4256" s="14" t="s">
        <v>8060</v>
      </c>
      <c r="C4256" s="14" t="s">
        <v>8061</v>
      </c>
      <c r="D4256" s="14">
        <v>1</v>
      </c>
      <c r="E4256" s="15">
        <v>488.68</v>
      </c>
      <c r="F4256" s="16" t="s">
        <v>4214</v>
      </c>
      <c r="G4256" s="38" t="str">
        <f>HYPERLINK("http://enext.ua/ATK-60-05")</f>
        <v>http://enext.ua/ATK-60-05</v>
      </c>
    </row>
    <row r="4257" spans="2:7" ht="12" outlineLevel="4" x14ac:dyDescent="0.2">
      <c r="B4257" s="12"/>
      <c r="C4257" s="37" t="s">
        <v>8062</v>
      </c>
      <c r="D4257" s="12"/>
      <c r="E4257" s="13"/>
      <c r="F4257" s="13"/>
      <c r="G4257" s="12"/>
    </row>
    <row r="4258" spans="2:7" ht="11.25" outlineLevel="5" x14ac:dyDescent="0.2">
      <c r="B4258" s="14" t="s">
        <v>8063</v>
      </c>
      <c r="C4258" s="14" t="s">
        <v>8064</v>
      </c>
      <c r="D4258" s="14">
        <v>1</v>
      </c>
      <c r="E4258" s="15">
        <v>115.23</v>
      </c>
      <c r="F4258" s="16" t="s">
        <v>4214</v>
      </c>
      <c r="G4258" s="38" t="str">
        <f>HYPERLINK("http://enext.ua/ATK-05-14")</f>
        <v>http://enext.ua/ATK-05-14</v>
      </c>
    </row>
    <row r="4259" spans="2:7" ht="11.25" outlineLevel="5" x14ac:dyDescent="0.2">
      <c r="B4259" s="14" t="s">
        <v>8065</v>
      </c>
      <c r="C4259" s="14" t="s">
        <v>8066</v>
      </c>
      <c r="D4259" s="14">
        <v>1</v>
      </c>
      <c r="E4259" s="15">
        <v>128.43</v>
      </c>
      <c r="F4259" s="16" t="s">
        <v>4214</v>
      </c>
      <c r="G4259" s="38" t="str">
        <f>HYPERLINK("http://enext.ua/ATK-07-14")</f>
        <v>http://enext.ua/ATK-07-14</v>
      </c>
    </row>
    <row r="4260" spans="2:7" ht="11.25" outlineLevel="5" x14ac:dyDescent="0.2">
      <c r="B4260" s="14" t="s">
        <v>8067</v>
      </c>
      <c r="C4260" s="14" t="s">
        <v>8068</v>
      </c>
      <c r="D4260" s="14">
        <v>1</v>
      </c>
      <c r="E4260" s="15">
        <v>130.63</v>
      </c>
      <c r="F4260" s="16" t="s">
        <v>4214</v>
      </c>
      <c r="G4260" s="38" t="str">
        <f>HYPERLINK("http://enext.ua/ATK-10-14")</f>
        <v>http://enext.ua/ATK-10-14</v>
      </c>
    </row>
    <row r="4261" spans="2:7" ht="11.25" outlineLevel="5" x14ac:dyDescent="0.2">
      <c r="B4261" s="14" t="s">
        <v>8069</v>
      </c>
      <c r="C4261" s="14" t="s">
        <v>8070</v>
      </c>
      <c r="D4261" s="14">
        <v>1</v>
      </c>
      <c r="E4261" s="15">
        <v>143</v>
      </c>
      <c r="F4261" s="16" t="s">
        <v>4214</v>
      </c>
      <c r="G4261" s="38" t="str">
        <f>HYPERLINK("http://enext.ua/ATK-15-14")</f>
        <v>http://enext.ua/ATK-15-14</v>
      </c>
    </row>
    <row r="4262" spans="2:7" ht="11.25" outlineLevel="5" x14ac:dyDescent="0.2">
      <c r="B4262" s="14" t="s">
        <v>8071</v>
      </c>
      <c r="C4262" s="14" t="s">
        <v>8072</v>
      </c>
      <c r="D4262" s="14">
        <v>1</v>
      </c>
      <c r="E4262" s="15">
        <v>166.93</v>
      </c>
      <c r="F4262" s="16" t="s">
        <v>4214</v>
      </c>
      <c r="G4262" s="38" t="str">
        <f>HYPERLINK("http://enext.ua/ATK-20-14")</f>
        <v>http://enext.ua/ATK-20-14</v>
      </c>
    </row>
    <row r="4263" spans="2:7" ht="11.25" outlineLevel="5" x14ac:dyDescent="0.2">
      <c r="B4263" s="14" t="s">
        <v>8073</v>
      </c>
      <c r="C4263" s="14" t="s">
        <v>8074</v>
      </c>
      <c r="D4263" s="14">
        <v>1</v>
      </c>
      <c r="E4263" s="15">
        <v>250.53</v>
      </c>
      <c r="F4263" s="16" t="s">
        <v>4214</v>
      </c>
      <c r="G4263" s="38" t="str">
        <f>HYPERLINK("http://enext.ua/ATK-30-15")</f>
        <v>http://enext.ua/ATK-30-15</v>
      </c>
    </row>
    <row r="4264" spans="2:7" ht="11.25" outlineLevel="5" x14ac:dyDescent="0.2">
      <c r="B4264" s="14" t="s">
        <v>8075</v>
      </c>
      <c r="C4264" s="14" t="s">
        <v>8076</v>
      </c>
      <c r="D4264" s="14">
        <v>1</v>
      </c>
      <c r="E4264" s="15">
        <v>318.45</v>
      </c>
      <c r="F4264" s="16" t="s">
        <v>4214</v>
      </c>
      <c r="G4264" s="38" t="str">
        <f>HYPERLINK("http://enext.ua/ATK-40-15")</f>
        <v>http://enext.ua/ATK-40-15</v>
      </c>
    </row>
    <row r="4265" spans="2:7" ht="11.25" outlineLevel="5" x14ac:dyDescent="0.2">
      <c r="B4265" s="14" t="s">
        <v>8077</v>
      </c>
      <c r="C4265" s="14" t="s">
        <v>8078</v>
      </c>
      <c r="D4265" s="14">
        <v>1</v>
      </c>
      <c r="E4265" s="15">
        <v>449.63</v>
      </c>
      <c r="F4265" s="16" t="s">
        <v>4214</v>
      </c>
      <c r="G4265" s="38" t="str">
        <f>HYPERLINK("http://enext.ua/ATK-50-15")</f>
        <v>http://enext.ua/ATK-50-15</v>
      </c>
    </row>
    <row r="4266" spans="2:7" ht="11.25" outlineLevel="5" x14ac:dyDescent="0.2">
      <c r="B4266" s="14" t="s">
        <v>8079</v>
      </c>
      <c r="C4266" s="14" t="s">
        <v>8080</v>
      </c>
      <c r="D4266" s="14">
        <v>1</v>
      </c>
      <c r="E4266" s="15">
        <v>491.7</v>
      </c>
      <c r="F4266" s="16" t="s">
        <v>4214</v>
      </c>
      <c r="G4266" s="38" t="str">
        <f>HYPERLINK("http://enext.ua/ATK-60-15")</f>
        <v>http://enext.ua/ATK-60-15</v>
      </c>
    </row>
    <row r="4267" spans="2:7" ht="12" outlineLevel="4" x14ac:dyDescent="0.2">
      <c r="B4267" s="12"/>
      <c r="C4267" s="37" t="s">
        <v>8081</v>
      </c>
      <c r="D4267" s="12"/>
      <c r="E4267" s="13"/>
      <c r="F4267" s="13"/>
      <c r="G4267" s="12"/>
    </row>
    <row r="4268" spans="2:7" ht="11.25" outlineLevel="5" x14ac:dyDescent="0.2">
      <c r="B4268" s="14" t="s">
        <v>8082</v>
      </c>
      <c r="C4268" s="14" t="s">
        <v>8083</v>
      </c>
      <c r="D4268" s="14">
        <v>1</v>
      </c>
      <c r="E4268" s="15">
        <v>169.13</v>
      </c>
      <c r="F4268" s="16" t="s">
        <v>4214</v>
      </c>
      <c r="G4268" s="38" t="str">
        <f>HYPERLINK("http://enext.ua/ATK-10-44")</f>
        <v>http://enext.ua/ATK-10-44</v>
      </c>
    </row>
    <row r="4269" spans="2:7" ht="11.25" outlineLevel="5" x14ac:dyDescent="0.2">
      <c r="B4269" s="14" t="s">
        <v>8084</v>
      </c>
      <c r="C4269" s="14" t="s">
        <v>8085</v>
      </c>
      <c r="D4269" s="14">
        <v>1</v>
      </c>
      <c r="E4269" s="15">
        <v>201.3</v>
      </c>
      <c r="F4269" s="16" t="s">
        <v>4214</v>
      </c>
      <c r="G4269" s="38" t="str">
        <f>HYPERLINK("http://enext.ua/ATK-15-44")</f>
        <v>http://enext.ua/ATK-15-44</v>
      </c>
    </row>
    <row r="4270" spans="2:7" ht="11.25" outlineLevel="5" x14ac:dyDescent="0.2">
      <c r="B4270" s="14" t="s">
        <v>8086</v>
      </c>
      <c r="C4270" s="14" t="s">
        <v>8087</v>
      </c>
      <c r="D4270" s="14">
        <v>1</v>
      </c>
      <c r="E4270" s="15">
        <v>227.43</v>
      </c>
      <c r="F4270" s="16" t="s">
        <v>4214</v>
      </c>
      <c r="G4270" s="38" t="str">
        <f>HYPERLINK("http://enext.ua/ATK-20-44")</f>
        <v>http://enext.ua/ATK-20-44</v>
      </c>
    </row>
    <row r="4271" spans="2:7" ht="11.25" outlineLevel="5" x14ac:dyDescent="0.2">
      <c r="B4271" s="14" t="s">
        <v>8088</v>
      </c>
      <c r="C4271" s="14" t="s">
        <v>8089</v>
      </c>
      <c r="D4271" s="14">
        <v>1</v>
      </c>
      <c r="E4271" s="15">
        <v>345.13</v>
      </c>
      <c r="F4271" s="16" t="s">
        <v>4214</v>
      </c>
      <c r="G4271" s="38" t="str">
        <f>HYPERLINK("http://enext.ua/ATK-30-45")</f>
        <v>http://enext.ua/ATK-30-45</v>
      </c>
    </row>
    <row r="4272" spans="2:7" ht="11.25" outlineLevel="5" x14ac:dyDescent="0.2">
      <c r="B4272" s="14" t="s">
        <v>8090</v>
      </c>
      <c r="C4272" s="14" t="s">
        <v>8091</v>
      </c>
      <c r="D4272" s="14">
        <v>1</v>
      </c>
      <c r="E4272" s="15">
        <v>411.95</v>
      </c>
      <c r="F4272" s="16" t="s">
        <v>4214</v>
      </c>
      <c r="G4272" s="38" t="str">
        <f>HYPERLINK("http://enext.ua/ATK-40-45")</f>
        <v>http://enext.ua/ATK-40-45</v>
      </c>
    </row>
    <row r="4273" spans="2:7" ht="11.25" outlineLevel="5" x14ac:dyDescent="0.2">
      <c r="B4273" s="14" t="s">
        <v>8092</v>
      </c>
      <c r="C4273" s="14" t="s">
        <v>8093</v>
      </c>
      <c r="D4273" s="14">
        <v>1</v>
      </c>
      <c r="E4273" s="15">
        <v>478.23</v>
      </c>
      <c r="F4273" s="16" t="s">
        <v>4214</v>
      </c>
      <c r="G4273" s="38" t="str">
        <f>HYPERLINK("http://enext.ua/ATK-50-45")</f>
        <v>http://enext.ua/ATK-50-45</v>
      </c>
    </row>
    <row r="4274" spans="2:7" ht="11.25" outlineLevel="5" x14ac:dyDescent="0.2">
      <c r="B4274" s="14" t="s">
        <v>8094</v>
      </c>
      <c r="C4274" s="14" t="s">
        <v>8095</v>
      </c>
      <c r="D4274" s="14">
        <v>1</v>
      </c>
      <c r="E4274" s="15">
        <v>546.42999999999995</v>
      </c>
      <c r="F4274" s="16" t="s">
        <v>4214</v>
      </c>
      <c r="G4274" s="38" t="str">
        <f>HYPERLINK("http://enext.ua/ATK-60-45")</f>
        <v>http://enext.ua/ATK-60-45</v>
      </c>
    </row>
    <row r="4275" spans="2:7" ht="12" outlineLevel="4" x14ac:dyDescent="0.2">
      <c r="B4275" s="12"/>
      <c r="C4275" s="37" t="s">
        <v>8096</v>
      </c>
      <c r="D4275" s="12"/>
      <c r="E4275" s="13"/>
      <c r="F4275" s="13"/>
      <c r="G4275" s="12"/>
    </row>
    <row r="4276" spans="2:7" ht="11.25" outlineLevel="5" x14ac:dyDescent="0.2">
      <c r="B4276" s="14" t="s">
        <v>8097</v>
      </c>
      <c r="C4276" s="14" t="s">
        <v>8098</v>
      </c>
      <c r="D4276" s="14">
        <v>1</v>
      </c>
      <c r="E4276" s="15">
        <v>134.15</v>
      </c>
      <c r="F4276" s="16" t="s">
        <v>4214</v>
      </c>
      <c r="G4276" s="38" t="str">
        <f>HYPERLINK("http://enext.ua/ATK-10-24")</f>
        <v>http://enext.ua/ATK-10-24</v>
      </c>
    </row>
    <row r="4277" spans="2:7" ht="11.25" outlineLevel="5" x14ac:dyDescent="0.2">
      <c r="B4277" s="14" t="s">
        <v>8099</v>
      </c>
      <c r="C4277" s="14" t="s">
        <v>8100</v>
      </c>
      <c r="D4277" s="14">
        <v>1</v>
      </c>
      <c r="E4277" s="15">
        <v>205.4</v>
      </c>
      <c r="F4277" s="16" t="s">
        <v>4214</v>
      </c>
      <c r="G4277" s="38" t="str">
        <f>HYPERLINK("http://enext.ua/ATK-15-24")</f>
        <v>http://enext.ua/ATK-15-24</v>
      </c>
    </row>
    <row r="4278" spans="2:7" ht="11.25" outlineLevel="5" x14ac:dyDescent="0.2">
      <c r="B4278" s="14" t="s">
        <v>8101</v>
      </c>
      <c r="C4278" s="14" t="s">
        <v>8102</v>
      </c>
      <c r="D4278" s="14">
        <v>1</v>
      </c>
      <c r="E4278" s="15">
        <v>157.66999999999999</v>
      </c>
      <c r="F4278" s="16" t="s">
        <v>4214</v>
      </c>
      <c r="G4278" s="38" t="str">
        <f>HYPERLINK("http://enext.ua/ATK-20-24")</f>
        <v>http://enext.ua/ATK-20-24</v>
      </c>
    </row>
    <row r="4279" spans="2:7" ht="11.25" outlineLevel="5" x14ac:dyDescent="0.2">
      <c r="B4279" s="14" t="s">
        <v>8103</v>
      </c>
      <c r="C4279" s="14" t="s">
        <v>8104</v>
      </c>
      <c r="D4279" s="14">
        <v>1</v>
      </c>
      <c r="E4279" s="15">
        <v>393.85</v>
      </c>
      <c r="F4279" s="16" t="s">
        <v>4214</v>
      </c>
      <c r="G4279" s="38" t="str">
        <f>HYPERLINK("http://enext.ua/ATK-30-25")</f>
        <v>http://enext.ua/ATK-30-25</v>
      </c>
    </row>
    <row r="4280" spans="2:7" ht="11.25" outlineLevel="5" x14ac:dyDescent="0.2">
      <c r="B4280" s="14" t="s">
        <v>8105</v>
      </c>
      <c r="C4280" s="14" t="s">
        <v>8106</v>
      </c>
      <c r="D4280" s="14">
        <v>1</v>
      </c>
      <c r="E4280" s="15">
        <v>348.73</v>
      </c>
      <c r="F4280" s="16" t="s">
        <v>4214</v>
      </c>
      <c r="G4280" s="38" t="str">
        <f>HYPERLINK("http://enext.ua/ATK-40-25")</f>
        <v>http://enext.ua/ATK-40-25</v>
      </c>
    </row>
    <row r="4281" spans="2:7" ht="11.25" outlineLevel="5" x14ac:dyDescent="0.2">
      <c r="B4281" s="14" t="s">
        <v>8107</v>
      </c>
      <c r="C4281" s="14" t="s">
        <v>8108</v>
      </c>
      <c r="D4281" s="14">
        <v>1</v>
      </c>
      <c r="E4281" s="15">
        <v>517</v>
      </c>
      <c r="F4281" s="16" t="s">
        <v>4214</v>
      </c>
      <c r="G4281" s="38" t="str">
        <f>HYPERLINK("http://enext.ua/ATK-50-25")</f>
        <v>http://enext.ua/ATK-50-25</v>
      </c>
    </row>
    <row r="4282" spans="2:7" ht="11.25" outlineLevel="5" x14ac:dyDescent="0.2">
      <c r="B4282" s="14" t="s">
        <v>8109</v>
      </c>
      <c r="C4282" s="14" t="s">
        <v>8110</v>
      </c>
      <c r="D4282" s="14">
        <v>1</v>
      </c>
      <c r="E4282" s="15">
        <v>584.65</v>
      </c>
      <c r="F4282" s="16" t="s">
        <v>4214</v>
      </c>
      <c r="G4282" s="38" t="str">
        <f>HYPERLINK("http://enext.ua/ATK-60-25")</f>
        <v>http://enext.ua/ATK-60-25</v>
      </c>
    </row>
    <row r="4283" spans="2:7" ht="12" outlineLevel="4" x14ac:dyDescent="0.2">
      <c r="B4283" s="12"/>
      <c r="C4283" s="37" t="s">
        <v>8111</v>
      </c>
      <c r="D4283" s="12"/>
      <c r="E4283" s="13"/>
      <c r="F4283" s="13"/>
      <c r="G4283" s="12"/>
    </row>
    <row r="4284" spans="2:7" ht="11.25" outlineLevel="5" x14ac:dyDescent="0.2">
      <c r="B4284" s="14" t="s">
        <v>8112</v>
      </c>
      <c r="C4284" s="14" t="s">
        <v>8113</v>
      </c>
      <c r="D4284" s="14">
        <v>1</v>
      </c>
      <c r="E4284" s="15">
        <v>51.04</v>
      </c>
      <c r="F4284" s="16" t="s">
        <v>8</v>
      </c>
      <c r="G4284" s="38" t="str">
        <f>HYPERLINK("http://enext.ua/ATK-14")</f>
        <v>http://enext.ua/ATK-14</v>
      </c>
    </row>
    <row r="4285" spans="2:7" ht="11.25" outlineLevel="5" x14ac:dyDescent="0.2">
      <c r="B4285" s="14" t="s">
        <v>8114</v>
      </c>
      <c r="C4285" s="14" t="s">
        <v>8115</v>
      </c>
      <c r="D4285" s="14">
        <v>1</v>
      </c>
      <c r="E4285" s="15">
        <v>92.4</v>
      </c>
      <c r="F4285" s="16" t="s">
        <v>8</v>
      </c>
      <c r="G4285" s="38" t="str">
        <f>HYPERLINK("http://enext.ua/ATK-3")</f>
        <v>http://enext.ua/ATK-3</v>
      </c>
    </row>
    <row r="4286" spans="2:7" ht="11.25" outlineLevel="5" x14ac:dyDescent="0.2">
      <c r="B4286" s="14" t="s">
        <v>8116</v>
      </c>
      <c r="C4286" s="14" t="s">
        <v>8117</v>
      </c>
      <c r="D4286" s="14">
        <v>1</v>
      </c>
      <c r="E4286" s="15">
        <v>68.819999999999993</v>
      </c>
      <c r="F4286" s="16" t="s">
        <v>8</v>
      </c>
      <c r="G4286" s="38" t="str">
        <f>HYPERLINK("http://enext.ua/ATK-5-2")</f>
        <v>http://enext.ua/ATK-5-2</v>
      </c>
    </row>
    <row r="4287" spans="2:7" ht="11.25" outlineLevel="5" x14ac:dyDescent="0.2">
      <c r="B4287" s="14" t="s">
        <v>8118</v>
      </c>
      <c r="C4287" s="14" t="s">
        <v>8119</v>
      </c>
      <c r="D4287" s="14">
        <v>1</v>
      </c>
      <c r="E4287" s="15">
        <v>26.49</v>
      </c>
      <c r="F4287" s="16" t="s">
        <v>8</v>
      </c>
      <c r="G4287" s="38" t="str">
        <f>HYPERLINK("http://enext.ua/ATK-6-1")</f>
        <v>http://enext.ua/ATK-6-1</v>
      </c>
    </row>
    <row r="4288" spans="2:7" ht="11.25" outlineLevel="5" x14ac:dyDescent="0.2">
      <c r="B4288" s="14" t="s">
        <v>8120</v>
      </c>
      <c r="C4288" s="14" t="s">
        <v>8121</v>
      </c>
      <c r="D4288" s="14">
        <v>1</v>
      </c>
      <c r="E4288" s="15">
        <v>16.05</v>
      </c>
      <c r="F4288" s="16" t="s">
        <v>8</v>
      </c>
      <c r="G4288" s="38" t="str">
        <f>HYPERLINK("http://enext.ua/ATK-6-1-U")</f>
        <v>http://enext.ua/ATK-6-1-U</v>
      </c>
    </row>
    <row r="4289" spans="2:7" ht="11.25" outlineLevel="5" x14ac:dyDescent="0.2">
      <c r="B4289" s="14" t="s">
        <v>8122</v>
      </c>
      <c r="C4289" s="14" t="s">
        <v>8123</v>
      </c>
      <c r="D4289" s="14">
        <v>1</v>
      </c>
      <c r="E4289" s="15">
        <v>29.43</v>
      </c>
      <c r="F4289" s="16" t="s">
        <v>8</v>
      </c>
      <c r="G4289" s="38" t="str">
        <f>HYPERLINK("http://enext.ua/ATK-6-2")</f>
        <v>http://enext.ua/ATK-6-2</v>
      </c>
    </row>
    <row r="4290" spans="2:7" ht="11.25" outlineLevel="5" x14ac:dyDescent="0.2">
      <c r="B4290" s="14" t="s">
        <v>8124</v>
      </c>
      <c r="C4290" s="14" t="s">
        <v>8125</v>
      </c>
      <c r="D4290" s="14">
        <v>1</v>
      </c>
      <c r="E4290" s="15">
        <v>98.51</v>
      </c>
      <c r="F4290" s="16" t="s">
        <v>8</v>
      </c>
      <c r="G4290" s="38" t="str">
        <f>HYPERLINK("http://enext.ua/ATK-6-3")</f>
        <v>http://enext.ua/ATK-6-3</v>
      </c>
    </row>
    <row r="4291" spans="2:7" ht="11.25" outlineLevel="5" x14ac:dyDescent="0.2">
      <c r="B4291" s="14" t="s">
        <v>8126</v>
      </c>
      <c r="C4291" s="14" t="s">
        <v>8127</v>
      </c>
      <c r="D4291" s="14">
        <v>1</v>
      </c>
      <c r="E4291" s="15">
        <v>37.869999999999997</v>
      </c>
      <c r="F4291" s="16" t="s">
        <v>8</v>
      </c>
      <c r="G4291" s="38" t="str">
        <f>HYPERLINK("http://enext.ua/ATK-8")</f>
        <v>http://enext.ua/ATK-8</v>
      </c>
    </row>
    <row r="4292" spans="2:7" ht="11.25" outlineLevel="5" x14ac:dyDescent="0.2">
      <c r="B4292" s="14" t="s">
        <v>8128</v>
      </c>
      <c r="C4292" s="14" t="s">
        <v>8129</v>
      </c>
      <c r="D4292" s="14">
        <v>1</v>
      </c>
      <c r="E4292" s="15">
        <v>148.05000000000001</v>
      </c>
      <c r="F4292" s="16" t="s">
        <v>8</v>
      </c>
      <c r="G4292" s="38" t="str">
        <f>HYPERLINK("http://enext.ua/ATPK-1")</f>
        <v>http://enext.ua/ATPK-1</v>
      </c>
    </row>
    <row r="4293" spans="2:7" ht="11.25" outlineLevel="5" x14ac:dyDescent="0.2">
      <c r="B4293" s="14" t="s">
        <v>8130</v>
      </c>
      <c r="C4293" s="14" t="s">
        <v>8131</v>
      </c>
      <c r="D4293" s="14">
        <v>1</v>
      </c>
      <c r="E4293" s="15">
        <v>33</v>
      </c>
      <c r="F4293" s="16" t="s">
        <v>8</v>
      </c>
      <c r="G4293" s="38" t="str">
        <f>HYPERLINK("http://enext.ua/ATK-11")</f>
        <v>http://enext.ua/ATK-11</v>
      </c>
    </row>
    <row r="4294" spans="2:7" ht="11.25" outlineLevel="5" x14ac:dyDescent="0.2">
      <c r="B4294" s="14" t="s">
        <v>8132</v>
      </c>
      <c r="C4294" s="14" t="s">
        <v>8133</v>
      </c>
      <c r="D4294" s="14">
        <v>1</v>
      </c>
      <c r="E4294" s="15">
        <v>31.24</v>
      </c>
      <c r="F4294" s="16" t="s">
        <v>8</v>
      </c>
      <c r="G4294" s="38" t="str">
        <f>HYPERLINK("http://enext.ua/ATK-12")</f>
        <v>http://enext.ua/ATK-12</v>
      </c>
    </row>
    <row r="4295" spans="2:7" ht="11.25" outlineLevel="5" x14ac:dyDescent="0.2">
      <c r="B4295" s="14" t="s">
        <v>8134</v>
      </c>
      <c r="C4295" s="14" t="s">
        <v>8135</v>
      </c>
      <c r="D4295" s="14">
        <v>1</v>
      </c>
      <c r="E4295" s="15">
        <v>26.84</v>
      </c>
      <c r="F4295" s="16" t="s">
        <v>8</v>
      </c>
      <c r="G4295" s="38" t="str">
        <f>HYPERLINK("http://enext.ua/ATK-10")</f>
        <v>http://enext.ua/ATK-10</v>
      </c>
    </row>
    <row r="4296" spans="2:7" ht="11.25" outlineLevel="5" x14ac:dyDescent="0.2">
      <c r="B4296" s="14" t="s">
        <v>8136</v>
      </c>
      <c r="C4296" s="14" t="s">
        <v>8137</v>
      </c>
      <c r="D4296" s="14">
        <v>1</v>
      </c>
      <c r="E4296" s="15">
        <v>111.55</v>
      </c>
      <c r="F4296" s="16" t="s">
        <v>8</v>
      </c>
      <c r="G4296" s="38" t="str">
        <f>HYPERLINK("http://enext.ua/ATK-T4")</f>
        <v>http://enext.ua/ATK-T4</v>
      </c>
    </row>
    <row r="4297" spans="2:7" ht="11.25" outlineLevel="5" x14ac:dyDescent="0.2">
      <c r="B4297" s="14" t="s">
        <v>8138</v>
      </c>
      <c r="C4297" s="14" t="s">
        <v>8139</v>
      </c>
      <c r="D4297" s="14">
        <v>1</v>
      </c>
      <c r="E4297" s="15">
        <v>51.04</v>
      </c>
      <c r="F4297" s="16" t="s">
        <v>8</v>
      </c>
      <c r="G4297" s="38" t="str">
        <f>HYPERLINK("http://enext.ua/ATK-15")</f>
        <v>http://enext.ua/ATK-15</v>
      </c>
    </row>
    <row r="4298" spans="2:7" ht="11.25" outlineLevel="5" x14ac:dyDescent="0.2">
      <c r="B4298" s="14" t="s">
        <v>8140</v>
      </c>
      <c r="C4298" s="14" t="s">
        <v>8141</v>
      </c>
      <c r="D4298" s="14">
        <v>1</v>
      </c>
      <c r="E4298" s="15">
        <v>284.95999999999998</v>
      </c>
      <c r="F4298" s="16" t="s">
        <v>8</v>
      </c>
      <c r="G4298" s="38" t="str">
        <f>HYPERLINK("http://enext.ua/ATK-13")</f>
        <v>http://enext.ua/ATK-13</v>
      </c>
    </row>
    <row r="4299" spans="2:7" ht="11.25" outlineLevel="5" x14ac:dyDescent="0.2">
      <c r="B4299" s="14" t="s">
        <v>8142</v>
      </c>
      <c r="C4299" s="14" t="s">
        <v>8143</v>
      </c>
      <c r="D4299" s="14">
        <v>1</v>
      </c>
      <c r="E4299" s="15">
        <v>39.6</v>
      </c>
      <c r="F4299" s="16" t="s">
        <v>8</v>
      </c>
      <c r="G4299" s="38" t="str">
        <f>HYPERLINK("http://enext.ua/FixDz")</f>
        <v>http://enext.ua/FixDz</v>
      </c>
    </row>
    <row r="4300" spans="2:7" ht="12" outlineLevel="4" x14ac:dyDescent="0.2">
      <c r="B4300" s="12"/>
      <c r="C4300" s="37" t="s">
        <v>8144</v>
      </c>
      <c r="D4300" s="12"/>
      <c r="E4300" s="13"/>
      <c r="F4300" s="13"/>
      <c r="G4300" s="12"/>
    </row>
    <row r="4301" spans="2:7" ht="11.25" outlineLevel="5" x14ac:dyDescent="0.2">
      <c r="B4301" s="14" t="s">
        <v>8145</v>
      </c>
      <c r="C4301" s="14" t="s">
        <v>8146</v>
      </c>
      <c r="D4301" s="14">
        <v>1</v>
      </c>
      <c r="E4301" s="15">
        <v>26.4</v>
      </c>
      <c r="F4301" s="16" t="s">
        <v>8</v>
      </c>
      <c r="G4301" s="38" t="str">
        <f>HYPERLINK("http://enext.ua/AT6-05")</f>
        <v>http://enext.ua/AT6-05</v>
      </c>
    </row>
    <row r="4302" spans="2:7" ht="11.25" outlineLevel="5" x14ac:dyDescent="0.2">
      <c r="B4302" s="14" t="s">
        <v>8147</v>
      </c>
      <c r="C4302" s="14" t="s">
        <v>8148</v>
      </c>
      <c r="D4302" s="14">
        <v>1</v>
      </c>
      <c r="E4302" s="15">
        <v>42.9</v>
      </c>
      <c r="F4302" s="16" t="s">
        <v>8</v>
      </c>
      <c r="G4302" s="14"/>
    </row>
    <row r="4303" spans="2:7" ht="11.25" outlineLevel="5" x14ac:dyDescent="0.2">
      <c r="B4303" s="14" t="s">
        <v>8149</v>
      </c>
      <c r="C4303" s="14" t="s">
        <v>8150</v>
      </c>
      <c r="D4303" s="14">
        <v>1</v>
      </c>
      <c r="E4303" s="15">
        <v>57.42</v>
      </c>
      <c r="F4303" s="16" t="s">
        <v>8</v>
      </c>
      <c r="G4303" s="38" t="str">
        <f>HYPERLINK("http://enext.ua/AT6-10")</f>
        <v>http://enext.ua/AT6-10</v>
      </c>
    </row>
    <row r="4304" spans="2:7" ht="11.25" outlineLevel="5" x14ac:dyDescent="0.2">
      <c r="B4304" s="14" t="s">
        <v>8151</v>
      </c>
      <c r="C4304" s="14" t="s">
        <v>8152</v>
      </c>
      <c r="D4304" s="14">
        <v>1</v>
      </c>
      <c r="E4304" s="15">
        <v>121.53</v>
      </c>
      <c r="F4304" s="16" t="s">
        <v>8</v>
      </c>
      <c r="G4304" s="38" t="str">
        <f>HYPERLINK("http://enext.ua/AT6-16")</f>
        <v>http://enext.ua/AT6-16</v>
      </c>
    </row>
    <row r="4305" spans="2:7" ht="11.25" outlineLevel="5" x14ac:dyDescent="0.2">
      <c r="B4305" s="14" t="s">
        <v>8153</v>
      </c>
      <c r="C4305" s="14" t="s">
        <v>8154</v>
      </c>
      <c r="D4305" s="14">
        <v>1</v>
      </c>
      <c r="E4305" s="15">
        <v>123.76</v>
      </c>
      <c r="F4305" s="16" t="s">
        <v>8</v>
      </c>
      <c r="G4305" s="38" t="str">
        <f>HYPERLINK("http://enext.ua/AT6-20")</f>
        <v>http://enext.ua/AT6-20</v>
      </c>
    </row>
    <row r="4306" spans="2:7" ht="11.25" outlineLevel="5" x14ac:dyDescent="0.2">
      <c r="B4306" s="14" t="s">
        <v>8155</v>
      </c>
      <c r="C4306" s="14" t="s">
        <v>8156</v>
      </c>
      <c r="D4306" s="14">
        <v>1</v>
      </c>
      <c r="E4306" s="15">
        <v>140.33000000000001</v>
      </c>
      <c r="F4306" s="16" t="s">
        <v>8</v>
      </c>
      <c r="G4306" s="38" t="str">
        <f>HYPERLINK("http://enext.ua/AT6-30")</f>
        <v>http://enext.ua/AT6-30</v>
      </c>
    </row>
    <row r="4307" spans="2:7" ht="11.25" outlineLevel="5" x14ac:dyDescent="0.2">
      <c r="B4307" s="14" t="s">
        <v>8157</v>
      </c>
      <c r="C4307" s="14" t="s">
        <v>8158</v>
      </c>
      <c r="D4307" s="14">
        <v>1</v>
      </c>
      <c r="E4307" s="15">
        <v>235.87</v>
      </c>
      <c r="F4307" s="16" t="s">
        <v>8</v>
      </c>
      <c r="G4307" s="38" t="str">
        <f>HYPERLINK("http://enext.ua/AT6-40")</f>
        <v>http://enext.ua/AT6-40</v>
      </c>
    </row>
    <row r="4308" spans="2:7" ht="11.25" outlineLevel="5" x14ac:dyDescent="0.2">
      <c r="B4308" s="14" t="s">
        <v>8159</v>
      </c>
      <c r="C4308" s="14" t="s">
        <v>8160</v>
      </c>
      <c r="D4308" s="14">
        <v>1</v>
      </c>
      <c r="E4308" s="15">
        <v>284.08</v>
      </c>
      <c r="F4308" s="16" t="s">
        <v>8</v>
      </c>
      <c r="G4308" s="38" t="str">
        <f>HYPERLINK("http://enext.ua/AT6-50")</f>
        <v>http://enext.ua/AT6-50</v>
      </c>
    </row>
    <row r="4309" spans="2:7" ht="11.25" outlineLevel="5" x14ac:dyDescent="0.2">
      <c r="B4309" s="14" t="s">
        <v>8161</v>
      </c>
      <c r="C4309" s="14" t="s">
        <v>8162</v>
      </c>
      <c r="D4309" s="14">
        <v>1</v>
      </c>
      <c r="E4309" s="15">
        <v>311.02999999999997</v>
      </c>
      <c r="F4309" s="16" t="s">
        <v>8</v>
      </c>
      <c r="G4309" s="38" t="str">
        <f>HYPERLINK("http://enext.ua/AT6-60")</f>
        <v>http://enext.ua/AT6-60</v>
      </c>
    </row>
    <row r="4310" spans="2:7" ht="11.25" outlineLevel="5" x14ac:dyDescent="0.2">
      <c r="B4310" s="14" t="s">
        <v>8163</v>
      </c>
      <c r="C4310" s="14" t="s">
        <v>8164</v>
      </c>
      <c r="D4310" s="14">
        <v>1</v>
      </c>
      <c r="E4310" s="15">
        <v>79.48</v>
      </c>
      <c r="F4310" s="16" t="s">
        <v>8</v>
      </c>
      <c r="G4310" s="38" t="str">
        <f>HYPERLINK("http://enext.ua/AT6-10K")</f>
        <v>http://enext.ua/AT6-10K</v>
      </c>
    </row>
    <row r="4311" spans="2:7" ht="11.25" outlineLevel="5" x14ac:dyDescent="0.2">
      <c r="B4311" s="14" t="s">
        <v>8165</v>
      </c>
      <c r="C4311" s="14" t="s">
        <v>8166</v>
      </c>
      <c r="D4311" s="14">
        <v>1</v>
      </c>
      <c r="E4311" s="15">
        <v>149.33000000000001</v>
      </c>
      <c r="F4311" s="16" t="s">
        <v>8</v>
      </c>
      <c r="G4311" s="38" t="str">
        <f>HYPERLINK("http://enext.ua/AT6-20K")</f>
        <v>http://enext.ua/AT6-20K</v>
      </c>
    </row>
    <row r="4312" spans="2:7" ht="11.25" outlineLevel="5" x14ac:dyDescent="0.2">
      <c r="B4312" s="14" t="s">
        <v>8167</v>
      </c>
      <c r="C4312" s="14" t="s">
        <v>8168</v>
      </c>
      <c r="D4312" s="14">
        <v>1</v>
      </c>
      <c r="E4312" s="15">
        <v>172.43</v>
      </c>
      <c r="F4312" s="16" t="s">
        <v>8</v>
      </c>
      <c r="G4312" s="38" t="str">
        <f>HYPERLINK("http://enext.ua/AT6-30K")</f>
        <v>http://enext.ua/AT6-30K</v>
      </c>
    </row>
    <row r="4313" spans="2:7" ht="11.25" outlineLevel="5" x14ac:dyDescent="0.2">
      <c r="B4313" s="14" t="s">
        <v>8169</v>
      </c>
      <c r="C4313" s="14" t="s">
        <v>8170</v>
      </c>
      <c r="D4313" s="14">
        <v>1</v>
      </c>
      <c r="E4313" s="15">
        <v>275.83</v>
      </c>
      <c r="F4313" s="16" t="s">
        <v>8</v>
      </c>
      <c r="G4313" s="38" t="str">
        <f>HYPERLINK("http://enext.ua/AT6-40K")</f>
        <v>http://enext.ua/AT6-40K</v>
      </c>
    </row>
    <row r="4314" spans="2:7" ht="11.25" outlineLevel="5" x14ac:dyDescent="0.2">
      <c r="B4314" s="14" t="s">
        <v>8171</v>
      </c>
      <c r="C4314" s="14" t="s">
        <v>8172</v>
      </c>
      <c r="D4314" s="14">
        <v>1</v>
      </c>
      <c r="E4314" s="15">
        <v>298.93</v>
      </c>
      <c r="F4314" s="16" t="s">
        <v>8</v>
      </c>
      <c r="G4314" s="38" t="str">
        <f>HYPERLINK("http://enext.ua/AT6-50K")</f>
        <v>http://enext.ua/AT6-50K</v>
      </c>
    </row>
    <row r="4315" spans="2:7" ht="11.25" outlineLevel="5" x14ac:dyDescent="0.2">
      <c r="B4315" s="14" t="s">
        <v>8173</v>
      </c>
      <c r="C4315" s="14" t="s">
        <v>8174</v>
      </c>
      <c r="D4315" s="14">
        <v>1</v>
      </c>
      <c r="E4315" s="15">
        <v>329.73</v>
      </c>
      <c r="F4315" s="16" t="s">
        <v>8</v>
      </c>
      <c r="G4315" s="38" t="str">
        <f>HYPERLINK("http://enext.ua/AT6-60K")</f>
        <v>http://enext.ua/AT6-60K</v>
      </c>
    </row>
    <row r="4316" spans="2:7" ht="11.25" outlineLevel="5" x14ac:dyDescent="0.2">
      <c r="B4316" s="14" t="s">
        <v>8175</v>
      </c>
      <c r="C4316" s="14" t="s">
        <v>8176</v>
      </c>
      <c r="D4316" s="14">
        <v>1</v>
      </c>
      <c r="E4316" s="15">
        <v>81.400000000000006</v>
      </c>
      <c r="F4316" s="16" t="s">
        <v>8</v>
      </c>
      <c r="G4316" s="38" t="str">
        <f>HYPERLINK("http://enext.ua/AYDT-10-5")</f>
        <v>http://enext.ua/AYDT-10-5</v>
      </c>
    </row>
    <row r="4317" spans="2:7" ht="11.25" outlineLevel="5" x14ac:dyDescent="0.2">
      <c r="B4317" s="14" t="s">
        <v>8177</v>
      </c>
      <c r="C4317" s="14" t="s">
        <v>8178</v>
      </c>
      <c r="D4317" s="14">
        <v>1</v>
      </c>
      <c r="E4317" s="15">
        <v>110.55</v>
      </c>
      <c r="F4317" s="16" t="s">
        <v>8</v>
      </c>
      <c r="G4317" s="38" t="str">
        <f>HYPERLINK("http://enext.ua/AYDT-20-5")</f>
        <v>http://enext.ua/AYDT-20-5</v>
      </c>
    </row>
    <row r="4318" spans="2:7" ht="11.25" outlineLevel="5" x14ac:dyDescent="0.2">
      <c r="B4318" s="14" t="s">
        <v>8179</v>
      </c>
      <c r="C4318" s="14" t="s">
        <v>8180</v>
      </c>
      <c r="D4318" s="14">
        <v>1</v>
      </c>
      <c r="E4318" s="15">
        <v>77</v>
      </c>
      <c r="F4318" s="16" t="s">
        <v>8</v>
      </c>
      <c r="G4318" s="38" t="str">
        <f>HYPERLINK("http://enext.ua/AYDT-10-4")</f>
        <v>http://enext.ua/AYDT-10-4</v>
      </c>
    </row>
    <row r="4319" spans="2:7" ht="11.25" outlineLevel="5" x14ac:dyDescent="0.2">
      <c r="B4319" s="14" t="s">
        <v>8181</v>
      </c>
      <c r="C4319" s="14" t="s">
        <v>8182</v>
      </c>
      <c r="D4319" s="14">
        <v>1</v>
      </c>
      <c r="E4319" s="15">
        <v>86.9</v>
      </c>
      <c r="F4319" s="16" t="s">
        <v>8</v>
      </c>
      <c r="G4319" s="38" t="str">
        <f>HYPERLINK("http://enext.ua/AYDT-15-4")</f>
        <v>http://enext.ua/AYDT-15-4</v>
      </c>
    </row>
    <row r="4320" spans="2:7" ht="11.25" outlineLevel="5" x14ac:dyDescent="0.2">
      <c r="B4320" s="14" t="s">
        <v>8183</v>
      </c>
      <c r="C4320" s="14" t="s">
        <v>8184</v>
      </c>
      <c r="D4320" s="14">
        <v>1</v>
      </c>
      <c r="E4320" s="15">
        <v>126.23</v>
      </c>
      <c r="F4320" s="16" t="s">
        <v>8</v>
      </c>
      <c r="G4320" s="38" t="str">
        <f>HYPERLINK("http://enext.ua/AYDT-20-4")</f>
        <v>http://enext.ua/AYDT-20-4</v>
      </c>
    </row>
    <row r="4321" spans="2:7" ht="11.25" outlineLevel="5" x14ac:dyDescent="0.2">
      <c r="B4321" s="14" t="s">
        <v>8185</v>
      </c>
      <c r="C4321" s="14" t="s">
        <v>8186</v>
      </c>
      <c r="D4321" s="14">
        <v>1</v>
      </c>
      <c r="E4321" s="15">
        <v>167.75</v>
      </c>
      <c r="F4321" s="16" t="s">
        <v>8</v>
      </c>
      <c r="G4321" s="38" t="str">
        <f>HYPERLINK("http://enext.ua/AYDT-30-4")</f>
        <v>http://enext.ua/AYDT-30-4</v>
      </c>
    </row>
    <row r="4322" spans="2:7" ht="11.25" outlineLevel="5" x14ac:dyDescent="0.2">
      <c r="B4322" s="14" t="s">
        <v>8187</v>
      </c>
      <c r="C4322" s="14" t="s">
        <v>8188</v>
      </c>
      <c r="D4322" s="14">
        <v>1</v>
      </c>
      <c r="E4322" s="15">
        <v>206.25</v>
      </c>
      <c r="F4322" s="16" t="s">
        <v>8</v>
      </c>
      <c r="G4322" s="38" t="str">
        <f>HYPERLINK("http://enext.ua/AYDT-40-4")</f>
        <v>http://enext.ua/AYDT-40-4</v>
      </c>
    </row>
    <row r="4323" spans="2:7" ht="11.25" outlineLevel="5" x14ac:dyDescent="0.2">
      <c r="B4323" s="14" t="s">
        <v>8189</v>
      </c>
      <c r="C4323" s="14" t="s">
        <v>8190</v>
      </c>
      <c r="D4323" s="14">
        <v>1</v>
      </c>
      <c r="E4323" s="15">
        <v>247.23</v>
      </c>
      <c r="F4323" s="16" t="s">
        <v>8</v>
      </c>
      <c r="G4323" s="38" t="str">
        <f>HYPERLINK("http://enext.ua/AYDT-50-4")</f>
        <v>http://enext.ua/AYDT-50-4</v>
      </c>
    </row>
    <row r="4324" spans="2:7" ht="11.25" outlineLevel="5" x14ac:dyDescent="0.2">
      <c r="B4324" s="14" t="s">
        <v>8191</v>
      </c>
      <c r="C4324" s="14" t="s">
        <v>8192</v>
      </c>
      <c r="D4324" s="14">
        <v>1</v>
      </c>
      <c r="E4324" s="15">
        <v>284.08</v>
      </c>
      <c r="F4324" s="16" t="s">
        <v>8</v>
      </c>
      <c r="G4324" s="38" t="str">
        <f>HYPERLINK("http://enext.ua/AYDT-60-4")</f>
        <v>http://enext.ua/AYDT-60-4</v>
      </c>
    </row>
    <row r="4325" spans="2:7" ht="11.25" outlineLevel="5" x14ac:dyDescent="0.2">
      <c r="B4325" s="14" t="s">
        <v>8193</v>
      </c>
      <c r="C4325" s="14" t="s">
        <v>8194</v>
      </c>
      <c r="D4325" s="14">
        <v>1</v>
      </c>
      <c r="E4325" s="15">
        <v>29.98</v>
      </c>
      <c r="F4325" s="16" t="s">
        <v>8</v>
      </c>
      <c r="G4325" s="38" t="str">
        <f>HYPERLINK("http://enext.ua/ACT-3-21-05")</f>
        <v>http://enext.ua/ACT-3-21-05</v>
      </c>
    </row>
    <row r="4326" spans="2:7" ht="11.25" outlineLevel="5" x14ac:dyDescent="0.2">
      <c r="B4326" s="14" t="s">
        <v>8195</v>
      </c>
      <c r="C4326" s="14" t="s">
        <v>8196</v>
      </c>
      <c r="D4326" s="14">
        <v>1</v>
      </c>
      <c r="E4326" s="15">
        <v>39.049999999999997</v>
      </c>
      <c r="F4326" s="16" t="s">
        <v>8</v>
      </c>
      <c r="G4326" s="38" t="str">
        <f>HYPERLINK("http://enext.ua/ACT-3-21-08")</f>
        <v>http://enext.ua/ACT-3-21-08</v>
      </c>
    </row>
    <row r="4327" spans="2:7" ht="11.25" outlineLevel="5" x14ac:dyDescent="0.2">
      <c r="B4327" s="14" t="s">
        <v>8197</v>
      </c>
      <c r="C4327" s="14" t="s">
        <v>8198</v>
      </c>
      <c r="D4327" s="14">
        <v>1</v>
      </c>
      <c r="E4327" s="15">
        <v>57.75</v>
      </c>
      <c r="F4327" s="16" t="s">
        <v>8</v>
      </c>
      <c r="G4327" s="38" t="str">
        <f>HYPERLINK("http://enext.ua/ACT-3-21-10")</f>
        <v>http://enext.ua/ACT-3-21-10</v>
      </c>
    </row>
    <row r="4328" spans="2:7" ht="11.25" outlineLevel="5" x14ac:dyDescent="0.2">
      <c r="B4328" s="14" t="s">
        <v>8199</v>
      </c>
      <c r="C4328" s="14" t="s">
        <v>8200</v>
      </c>
      <c r="D4328" s="14">
        <v>1</v>
      </c>
      <c r="E4328" s="15">
        <v>122.38</v>
      </c>
      <c r="F4328" s="16" t="s">
        <v>8</v>
      </c>
      <c r="G4328" s="38" t="str">
        <f>HYPERLINK("http://enext.ua/ACT-3-21-16")</f>
        <v>http://enext.ua/ACT-3-21-16</v>
      </c>
    </row>
    <row r="4329" spans="2:7" ht="11.25" outlineLevel="5" x14ac:dyDescent="0.2">
      <c r="B4329" s="14" t="s">
        <v>8201</v>
      </c>
      <c r="C4329" s="14" t="s">
        <v>8202</v>
      </c>
      <c r="D4329" s="14">
        <v>1</v>
      </c>
      <c r="E4329" s="15">
        <v>125.13</v>
      </c>
      <c r="F4329" s="16" t="s">
        <v>8</v>
      </c>
      <c r="G4329" s="38" t="str">
        <f>HYPERLINK("http://enext.ua/ACT-3-21-20")</f>
        <v>http://enext.ua/ACT-3-21-20</v>
      </c>
    </row>
    <row r="4330" spans="2:7" ht="11.25" outlineLevel="5" x14ac:dyDescent="0.2">
      <c r="B4330" s="14" t="s">
        <v>8203</v>
      </c>
      <c r="C4330" s="14" t="s">
        <v>8204</v>
      </c>
      <c r="D4330" s="14">
        <v>1</v>
      </c>
      <c r="E4330" s="15">
        <v>141.35</v>
      </c>
      <c r="F4330" s="16" t="s">
        <v>8</v>
      </c>
      <c r="G4330" s="38" t="str">
        <f>HYPERLINK("http://enext.ua/ACT-3-21-30")</f>
        <v>http://enext.ua/ACT-3-21-30</v>
      </c>
    </row>
    <row r="4331" spans="2:7" ht="11.25" outlineLevel="5" x14ac:dyDescent="0.2">
      <c r="B4331" s="14" t="s">
        <v>8205</v>
      </c>
      <c r="C4331" s="14" t="s">
        <v>8206</v>
      </c>
      <c r="D4331" s="14">
        <v>1</v>
      </c>
      <c r="E4331" s="15">
        <v>242.83</v>
      </c>
      <c r="F4331" s="16" t="s">
        <v>8</v>
      </c>
      <c r="G4331" s="38" t="str">
        <f>HYPERLINK("http://enext.ua/ACT-3-21-40")</f>
        <v>http://enext.ua/ACT-3-21-40</v>
      </c>
    </row>
    <row r="4332" spans="2:7" ht="11.25" outlineLevel="5" x14ac:dyDescent="0.2">
      <c r="B4332" s="14" t="s">
        <v>8207</v>
      </c>
      <c r="C4332" s="14" t="s">
        <v>8208</v>
      </c>
      <c r="D4332" s="14">
        <v>1</v>
      </c>
      <c r="E4332" s="15">
        <v>262.89999999999998</v>
      </c>
      <c r="F4332" s="16" t="s">
        <v>8</v>
      </c>
      <c r="G4332" s="38" t="str">
        <f>HYPERLINK("http://enext.ua/ACT-3-21-50")</f>
        <v>http://enext.ua/ACT-3-21-50</v>
      </c>
    </row>
    <row r="4333" spans="2:7" ht="11.25" outlineLevel="5" x14ac:dyDescent="0.2">
      <c r="B4333" s="14" t="s">
        <v>8209</v>
      </c>
      <c r="C4333" s="14" t="s">
        <v>8210</v>
      </c>
      <c r="D4333" s="14">
        <v>1</v>
      </c>
      <c r="E4333" s="15">
        <v>283.25</v>
      </c>
      <c r="F4333" s="16" t="s">
        <v>8</v>
      </c>
      <c r="G4333" s="38" t="str">
        <f>HYPERLINK("http://enext.ua/ACT-3-21-60")</f>
        <v>http://enext.ua/ACT-3-21-60</v>
      </c>
    </row>
    <row r="4334" spans="2:7" ht="11.25" outlineLevel="5" x14ac:dyDescent="0.2">
      <c r="B4334" s="14" t="s">
        <v>8211</v>
      </c>
      <c r="C4334" s="14" t="s">
        <v>8212</v>
      </c>
      <c r="D4334" s="14">
        <v>1</v>
      </c>
      <c r="E4334" s="15">
        <v>133.65</v>
      </c>
      <c r="F4334" s="16" t="s">
        <v>8</v>
      </c>
      <c r="G4334" s="38" t="str">
        <f>HYPERLINK("http://enext.ua/ACT-3-41-05")</f>
        <v>http://enext.ua/ACT-3-41-05</v>
      </c>
    </row>
    <row r="4335" spans="2:7" ht="11.25" outlineLevel="5" x14ac:dyDescent="0.2">
      <c r="B4335" s="14" t="s">
        <v>8213</v>
      </c>
      <c r="C4335" s="14" t="s">
        <v>8214</v>
      </c>
      <c r="D4335" s="14">
        <v>1</v>
      </c>
      <c r="E4335" s="15">
        <v>153.72999999999999</v>
      </c>
      <c r="F4335" s="16" t="s">
        <v>8</v>
      </c>
      <c r="G4335" s="14"/>
    </row>
    <row r="4336" spans="2:7" ht="11.25" outlineLevel="5" x14ac:dyDescent="0.2">
      <c r="B4336" s="14" t="s">
        <v>8215</v>
      </c>
      <c r="C4336" s="14" t="s">
        <v>8216</v>
      </c>
      <c r="D4336" s="14">
        <v>1</v>
      </c>
      <c r="E4336" s="15">
        <v>167.48</v>
      </c>
      <c r="F4336" s="16" t="s">
        <v>8</v>
      </c>
      <c r="G4336" s="38" t="str">
        <f>HYPERLINK("http://enext.ua/ACT-3-41-10")</f>
        <v>http://enext.ua/ACT-3-41-10</v>
      </c>
    </row>
    <row r="4337" spans="2:7" ht="11.25" outlineLevel="5" x14ac:dyDescent="0.2">
      <c r="B4337" s="14" t="s">
        <v>8217</v>
      </c>
      <c r="C4337" s="14" t="s">
        <v>8218</v>
      </c>
      <c r="D4337" s="14">
        <v>1</v>
      </c>
      <c r="E4337" s="15">
        <v>208.45</v>
      </c>
      <c r="F4337" s="16" t="s">
        <v>8</v>
      </c>
      <c r="G4337" s="38" t="str">
        <f>HYPERLINK("http://enext.ua/ACT-3-41-16")</f>
        <v>http://enext.ua/ACT-3-41-16</v>
      </c>
    </row>
    <row r="4338" spans="2:7" ht="11.25" outlineLevel="5" x14ac:dyDescent="0.2">
      <c r="B4338" s="14" t="s">
        <v>8219</v>
      </c>
      <c r="C4338" s="14" t="s">
        <v>8220</v>
      </c>
      <c r="D4338" s="14">
        <v>1</v>
      </c>
      <c r="E4338" s="15">
        <v>233.75</v>
      </c>
      <c r="F4338" s="16" t="s">
        <v>8</v>
      </c>
      <c r="G4338" s="38" t="str">
        <f>HYPERLINK("http://enext.ua/ACT-3-41-20")</f>
        <v>http://enext.ua/ACT-3-41-20</v>
      </c>
    </row>
    <row r="4339" spans="2:7" ht="11.25" outlineLevel="5" x14ac:dyDescent="0.2">
      <c r="B4339" s="14" t="s">
        <v>8221</v>
      </c>
      <c r="C4339" s="14" t="s">
        <v>8222</v>
      </c>
      <c r="D4339" s="14">
        <v>1</v>
      </c>
      <c r="E4339" s="15">
        <v>312.13</v>
      </c>
      <c r="F4339" s="16" t="s">
        <v>8</v>
      </c>
      <c r="G4339" s="38" t="str">
        <f>HYPERLINK("http://enext.ua/ACT-3-41-30")</f>
        <v>http://enext.ua/ACT-3-41-30</v>
      </c>
    </row>
    <row r="4340" spans="2:7" ht="11.25" outlineLevel="5" x14ac:dyDescent="0.2">
      <c r="B4340" s="14" t="s">
        <v>8223</v>
      </c>
      <c r="C4340" s="14" t="s">
        <v>8224</v>
      </c>
      <c r="D4340" s="14">
        <v>1</v>
      </c>
      <c r="E4340" s="15">
        <v>379.23</v>
      </c>
      <c r="F4340" s="16" t="s">
        <v>8</v>
      </c>
      <c r="G4340" s="38" t="str">
        <f>HYPERLINK("http://enext.ua/ACT-3-41-40")</f>
        <v>http://enext.ua/ACT-3-41-40</v>
      </c>
    </row>
    <row r="4341" spans="2:7" ht="11.25" outlineLevel="5" x14ac:dyDescent="0.2">
      <c r="B4341" s="14" t="s">
        <v>8225</v>
      </c>
      <c r="C4341" s="14" t="s">
        <v>8226</v>
      </c>
      <c r="D4341" s="14">
        <v>1</v>
      </c>
      <c r="E4341" s="15">
        <v>445.78</v>
      </c>
      <c r="F4341" s="16" t="s">
        <v>8</v>
      </c>
      <c r="G4341" s="38" t="str">
        <f>HYPERLINK("http://enext.ua/ACT-3-41-50")</f>
        <v>http://enext.ua/ACT-3-41-50</v>
      </c>
    </row>
    <row r="4342" spans="2:7" ht="11.25" outlineLevel="5" x14ac:dyDescent="0.2">
      <c r="B4342" s="14" t="s">
        <v>8227</v>
      </c>
      <c r="C4342" s="14" t="s">
        <v>8228</v>
      </c>
      <c r="D4342" s="14">
        <v>1</v>
      </c>
      <c r="E4342" s="15">
        <v>523.88</v>
      </c>
      <c r="F4342" s="16" t="s">
        <v>8</v>
      </c>
      <c r="G4342" s="38" t="str">
        <f>HYPERLINK("http://enext.ua/ACT-3-41-60")</f>
        <v>http://enext.ua/ACT-3-41-60</v>
      </c>
    </row>
    <row r="4343" spans="2:7" ht="11.25" outlineLevel="5" x14ac:dyDescent="0.2">
      <c r="B4343" s="14" t="s">
        <v>8229</v>
      </c>
      <c r="C4343" s="14" t="s">
        <v>8230</v>
      </c>
      <c r="D4343" s="14">
        <v>1</v>
      </c>
      <c r="E4343" s="15">
        <v>72.88</v>
      </c>
      <c r="F4343" s="16" t="s">
        <v>8</v>
      </c>
      <c r="G4343" s="38" t="str">
        <f>HYPERLINK("http://enext.ua/AT5-4-16")</f>
        <v>http://enext.ua/AT5-4-16</v>
      </c>
    </row>
    <row r="4344" spans="2:7" ht="11.25" outlineLevel="5" x14ac:dyDescent="0.2">
      <c r="B4344" s="14" t="s">
        <v>8231</v>
      </c>
      <c r="C4344" s="14" t="s">
        <v>8230</v>
      </c>
      <c r="D4344" s="14">
        <v>1</v>
      </c>
      <c r="E4344" s="15">
        <v>75.08</v>
      </c>
      <c r="F4344" s="16" t="s">
        <v>8</v>
      </c>
      <c r="G4344" s="38" t="str">
        <f>HYPERLINK("http://enext.ua/AT5-4-20")</f>
        <v>http://enext.ua/AT5-4-20</v>
      </c>
    </row>
    <row r="4345" spans="2:7" ht="11.25" outlineLevel="5" x14ac:dyDescent="0.2">
      <c r="B4345" s="14" t="s">
        <v>8232</v>
      </c>
      <c r="C4345" s="14" t="s">
        <v>8233</v>
      </c>
      <c r="D4345" s="14">
        <v>1</v>
      </c>
      <c r="E4345" s="15">
        <v>95.15</v>
      </c>
      <c r="F4345" s="16" t="s">
        <v>8</v>
      </c>
      <c r="G4345" s="38" t="str">
        <f>HYPERLINK("http://enext.ua/AT5-4-30")</f>
        <v>http://enext.ua/AT5-4-30</v>
      </c>
    </row>
    <row r="4346" spans="2:7" ht="11.25" outlineLevel="5" x14ac:dyDescent="0.2">
      <c r="B4346" s="14" t="s">
        <v>8234</v>
      </c>
      <c r="C4346" s="14" t="s">
        <v>8235</v>
      </c>
      <c r="D4346" s="14">
        <v>1</v>
      </c>
      <c r="E4346" s="15">
        <v>119.9</v>
      </c>
      <c r="F4346" s="16" t="s">
        <v>8</v>
      </c>
      <c r="G4346" s="38" t="str">
        <f>HYPERLINK("http://enext.ua/AT5-4-40")</f>
        <v>http://enext.ua/AT5-4-40</v>
      </c>
    </row>
    <row r="4347" spans="2:7" ht="11.25" outlineLevel="5" x14ac:dyDescent="0.2">
      <c r="B4347" s="14" t="s">
        <v>8236</v>
      </c>
      <c r="C4347" s="14" t="s">
        <v>8237</v>
      </c>
      <c r="D4347" s="14">
        <v>1</v>
      </c>
      <c r="E4347" s="15">
        <v>128.97999999999999</v>
      </c>
      <c r="F4347" s="16" t="s">
        <v>8</v>
      </c>
      <c r="G4347" s="38" t="str">
        <f>HYPERLINK("http://enext.ua/AT5-4-50")</f>
        <v>http://enext.ua/AT5-4-50</v>
      </c>
    </row>
    <row r="4348" spans="2:7" ht="11.25" outlineLevel="5" x14ac:dyDescent="0.2">
      <c r="B4348" s="14" t="s">
        <v>8238</v>
      </c>
      <c r="C4348" s="14" t="s">
        <v>8237</v>
      </c>
      <c r="D4348" s="14">
        <v>1</v>
      </c>
      <c r="E4348" s="15">
        <v>149.33000000000001</v>
      </c>
      <c r="F4348" s="16" t="s">
        <v>8</v>
      </c>
      <c r="G4348" s="38" t="str">
        <f>HYPERLINK("http://enext.ua/AT5-4-60")</f>
        <v>http://enext.ua/AT5-4-60</v>
      </c>
    </row>
    <row r="4349" spans="2:7" ht="12" outlineLevel="3" x14ac:dyDescent="0.2">
      <c r="B4349" s="10"/>
      <c r="C4349" s="36" t="s">
        <v>8239</v>
      </c>
      <c r="D4349" s="10"/>
      <c r="E4349" s="11"/>
      <c r="F4349" s="11"/>
      <c r="G4349" s="10"/>
    </row>
    <row r="4350" spans="2:7" ht="12" outlineLevel="4" x14ac:dyDescent="0.2">
      <c r="B4350" s="12"/>
      <c r="C4350" s="37" t="s">
        <v>8240</v>
      </c>
      <c r="D4350" s="12"/>
      <c r="E4350" s="13"/>
      <c r="F4350" s="13"/>
      <c r="G4350" s="12"/>
    </row>
    <row r="4351" spans="2:7" ht="12" outlineLevel="4" x14ac:dyDescent="0.2">
      <c r="B4351" s="12"/>
      <c r="C4351" s="37" t="s">
        <v>8241</v>
      </c>
      <c r="D4351" s="12"/>
      <c r="E4351" s="13"/>
      <c r="F4351" s="13"/>
      <c r="G4351" s="12"/>
    </row>
    <row r="4352" spans="2:7" ht="11.25" outlineLevel="5" x14ac:dyDescent="0.2">
      <c r="B4352" s="14" t="s">
        <v>8242</v>
      </c>
      <c r="C4352" s="14" t="s">
        <v>8243</v>
      </c>
      <c r="D4352" s="14">
        <v>1</v>
      </c>
      <c r="E4352" s="15">
        <v>88.81</v>
      </c>
      <c r="F4352" s="16" t="s">
        <v>4214</v>
      </c>
      <c r="G4352" s="38" t="str">
        <f>HYPERLINK("http://enext.ua/A10-18A-07")</f>
        <v>http://enext.ua/A10-18A-07</v>
      </c>
    </row>
    <row r="4353" spans="2:7" ht="11.25" outlineLevel="5" x14ac:dyDescent="0.2">
      <c r="B4353" s="14" t="s">
        <v>8244</v>
      </c>
      <c r="C4353" s="14" t="s">
        <v>8245</v>
      </c>
      <c r="D4353" s="14">
        <v>1</v>
      </c>
      <c r="E4353" s="15">
        <v>105.68</v>
      </c>
      <c r="F4353" s="16" t="s">
        <v>4214</v>
      </c>
      <c r="G4353" s="38" t="str">
        <f>HYPERLINK("http://enext.ua/A16-18A-07")</f>
        <v>http://enext.ua/A16-18A-07</v>
      </c>
    </row>
    <row r="4354" spans="2:7" ht="11.25" outlineLevel="5" x14ac:dyDescent="0.2">
      <c r="B4354" s="14" t="s">
        <v>8246</v>
      </c>
      <c r="C4354" s="14" t="s">
        <v>8247</v>
      </c>
      <c r="D4354" s="14">
        <v>1</v>
      </c>
      <c r="E4354" s="15">
        <v>215.31</v>
      </c>
      <c r="F4354" s="16" t="s">
        <v>4214</v>
      </c>
      <c r="G4354" s="38" t="str">
        <f>HYPERLINK("http://enext.ua/A40-18A-10")</f>
        <v>http://enext.ua/A40-18A-10</v>
      </c>
    </row>
    <row r="4355" spans="2:7" ht="11.25" outlineLevel="5" x14ac:dyDescent="0.2">
      <c r="B4355" s="14" t="s">
        <v>8248</v>
      </c>
      <c r="C4355" s="14" t="s">
        <v>8249</v>
      </c>
      <c r="D4355" s="14">
        <v>1</v>
      </c>
      <c r="E4355" s="15">
        <v>170.35</v>
      </c>
      <c r="F4355" s="16" t="s">
        <v>4214</v>
      </c>
      <c r="G4355" s="14"/>
    </row>
    <row r="4356" spans="2:7" ht="12" outlineLevel="4" x14ac:dyDescent="0.2">
      <c r="B4356" s="12"/>
      <c r="C4356" s="37" t="s">
        <v>8250</v>
      </c>
      <c r="D4356" s="12"/>
      <c r="E4356" s="13"/>
      <c r="F4356" s="13"/>
      <c r="G4356" s="12"/>
    </row>
    <row r="4357" spans="2:7" ht="11.25" outlineLevel="5" x14ac:dyDescent="0.2">
      <c r="B4357" s="14" t="s">
        <v>8251</v>
      </c>
      <c r="C4357" s="14" t="s">
        <v>8252</v>
      </c>
      <c r="D4357" s="14">
        <v>1</v>
      </c>
      <c r="E4357" s="15">
        <v>141.77000000000001</v>
      </c>
      <c r="F4357" s="16" t="s">
        <v>4214</v>
      </c>
      <c r="G4357" s="38" t="str">
        <f>HYPERLINK("http://enext.ua/AA20-08")</f>
        <v>http://enext.ua/AA20-08</v>
      </c>
    </row>
    <row r="4358" spans="2:7" ht="11.25" outlineLevel="5" x14ac:dyDescent="0.2">
      <c r="B4358" s="14" t="s">
        <v>8253</v>
      </c>
      <c r="C4358" s="14" t="s">
        <v>8254</v>
      </c>
      <c r="D4358" s="14">
        <v>1</v>
      </c>
      <c r="E4358" s="15">
        <v>192.41</v>
      </c>
      <c r="F4358" s="16" t="s">
        <v>4214</v>
      </c>
      <c r="G4358" s="38" t="str">
        <f>HYPERLINK("http://enext.ua/AA30-08")</f>
        <v>http://enext.ua/AA30-08</v>
      </c>
    </row>
    <row r="4359" spans="2:7" ht="11.25" outlineLevel="5" x14ac:dyDescent="0.2">
      <c r="B4359" s="14" t="s">
        <v>8255</v>
      </c>
      <c r="C4359" s="14" t="s">
        <v>8256</v>
      </c>
      <c r="D4359" s="14">
        <v>1</v>
      </c>
      <c r="E4359" s="15">
        <v>272.33999999999997</v>
      </c>
      <c r="F4359" s="16" t="s">
        <v>4214</v>
      </c>
      <c r="G4359" s="38" t="str">
        <f>HYPERLINK("http://enext.ua/AA40-10")</f>
        <v>http://enext.ua/AA40-10</v>
      </c>
    </row>
    <row r="4360" spans="2:7" ht="12" outlineLevel="4" x14ac:dyDescent="0.2">
      <c r="B4360" s="12"/>
      <c r="C4360" s="37" t="s">
        <v>8257</v>
      </c>
      <c r="D4360" s="12"/>
      <c r="E4360" s="13"/>
      <c r="F4360" s="13"/>
      <c r="G4360" s="12"/>
    </row>
    <row r="4361" spans="2:7" ht="11.25" outlineLevel="5" x14ac:dyDescent="0.2">
      <c r="B4361" s="14" t="s">
        <v>8258</v>
      </c>
      <c r="C4361" s="14" t="s">
        <v>8259</v>
      </c>
      <c r="D4361" s="14">
        <v>1</v>
      </c>
      <c r="E4361" s="15">
        <v>100.92</v>
      </c>
      <c r="F4361" s="16" t="s">
        <v>4214</v>
      </c>
      <c r="G4361" s="38" t="str">
        <f>HYPERLINK("http://enext.ua/A20-15A-08n")</f>
        <v>http://enext.ua/A20-15A-08n</v>
      </c>
    </row>
    <row r="4362" spans="2:7" ht="11.25" outlineLevel="5" x14ac:dyDescent="0.2">
      <c r="B4362" s="14" t="s">
        <v>8260</v>
      </c>
      <c r="C4362" s="14" t="s">
        <v>8261</v>
      </c>
      <c r="D4362" s="14">
        <v>1</v>
      </c>
      <c r="E4362" s="15">
        <v>130.6</v>
      </c>
      <c r="F4362" s="16" t="s">
        <v>4214</v>
      </c>
      <c r="G4362" s="38" t="str">
        <f>HYPERLINK("http://enext.ua/A30-15A-08n")</f>
        <v>http://enext.ua/A30-15A-08n</v>
      </c>
    </row>
    <row r="4363" spans="2:7" ht="12" outlineLevel="4" x14ac:dyDescent="0.2">
      <c r="B4363" s="12"/>
      <c r="C4363" s="37" t="s">
        <v>8262</v>
      </c>
      <c r="D4363" s="12"/>
      <c r="E4363" s="13"/>
      <c r="F4363" s="13"/>
      <c r="G4363" s="12"/>
    </row>
    <row r="4364" spans="2:7" ht="11.25" outlineLevel="5" x14ac:dyDescent="0.2">
      <c r="B4364" s="14" t="s">
        <v>8263</v>
      </c>
      <c r="C4364" s="14" t="s">
        <v>8264</v>
      </c>
      <c r="D4364" s="14">
        <v>1</v>
      </c>
      <c r="E4364" s="15">
        <v>88.81</v>
      </c>
      <c r="F4364" s="16" t="s">
        <v>4214</v>
      </c>
      <c r="G4364" s="38" t="str">
        <f>HYPERLINK("http://enext.ua/A10-18A-07n")</f>
        <v>http://enext.ua/A10-18A-07n</v>
      </c>
    </row>
    <row r="4365" spans="2:7" ht="11.25" outlineLevel="5" x14ac:dyDescent="0.2">
      <c r="B4365" s="14" t="s">
        <v>8265</v>
      </c>
      <c r="C4365" s="14" t="s">
        <v>8266</v>
      </c>
      <c r="D4365" s="14">
        <v>1</v>
      </c>
      <c r="E4365" s="15">
        <v>126.62</v>
      </c>
      <c r="F4365" s="16" t="s">
        <v>4214</v>
      </c>
      <c r="G4365" s="38" t="str">
        <f>HYPERLINK("http://enext.ua/A20-18A-08n")</f>
        <v>http://enext.ua/A20-18A-08n</v>
      </c>
    </row>
    <row r="4366" spans="2:7" ht="11.25" outlineLevel="5" x14ac:dyDescent="0.2">
      <c r="B4366" s="14" t="s">
        <v>8267</v>
      </c>
      <c r="C4366" s="14" t="s">
        <v>8268</v>
      </c>
      <c r="D4366" s="14">
        <v>1</v>
      </c>
      <c r="E4366" s="15">
        <v>159.63</v>
      </c>
      <c r="F4366" s="16" t="s">
        <v>4214</v>
      </c>
      <c r="G4366" s="38" t="str">
        <f>HYPERLINK("http://enext.ua/A30-18A-08n")</f>
        <v>http://enext.ua/A30-18A-08n</v>
      </c>
    </row>
    <row r="4367" spans="2:7" ht="12" outlineLevel="4" x14ac:dyDescent="0.2">
      <c r="B4367" s="12"/>
      <c r="C4367" s="37" t="s">
        <v>8269</v>
      </c>
      <c r="D4367" s="12"/>
      <c r="E4367" s="13"/>
      <c r="F4367" s="13"/>
      <c r="G4367" s="12"/>
    </row>
    <row r="4368" spans="2:7" ht="11.25" outlineLevel="5" x14ac:dyDescent="0.2">
      <c r="B4368" s="14" t="s">
        <v>8270</v>
      </c>
      <c r="C4368" s="14" t="s">
        <v>8271</v>
      </c>
      <c r="D4368" s="14">
        <v>1</v>
      </c>
      <c r="E4368" s="15">
        <v>100.48</v>
      </c>
      <c r="F4368" s="16" t="s">
        <v>4214</v>
      </c>
      <c r="G4368" s="38" t="str">
        <f>HYPERLINK("http://enext.ua/AA10-07n")</f>
        <v>http://enext.ua/AA10-07n</v>
      </c>
    </row>
    <row r="4369" spans="2:7" ht="11.25" outlineLevel="5" x14ac:dyDescent="0.2">
      <c r="B4369" s="14" t="s">
        <v>8272</v>
      </c>
      <c r="C4369" s="14" t="s">
        <v>8273</v>
      </c>
      <c r="D4369" s="14">
        <v>1</v>
      </c>
      <c r="E4369" s="15">
        <v>141.77000000000001</v>
      </c>
      <c r="F4369" s="16" t="s">
        <v>4214</v>
      </c>
      <c r="G4369" s="38" t="str">
        <f>HYPERLINK("http://enext.ua/AA20-08n")</f>
        <v>http://enext.ua/AA20-08n</v>
      </c>
    </row>
    <row r="4370" spans="2:7" ht="12" outlineLevel="4" x14ac:dyDescent="0.2">
      <c r="B4370" s="12"/>
      <c r="C4370" s="37" t="s">
        <v>8274</v>
      </c>
      <c r="D4370" s="12"/>
      <c r="E4370" s="13"/>
      <c r="F4370" s="13"/>
      <c r="G4370" s="12"/>
    </row>
    <row r="4371" spans="2:7" ht="11.25" outlineLevel="5" x14ac:dyDescent="0.2">
      <c r="B4371" s="14" t="s">
        <v>8275</v>
      </c>
      <c r="C4371" s="14" t="s">
        <v>8276</v>
      </c>
      <c r="D4371" s="14">
        <v>1</v>
      </c>
      <c r="E4371" s="15">
        <v>84.45</v>
      </c>
      <c r="F4371" s="16" t="s">
        <v>8</v>
      </c>
      <c r="G4371" s="38" t="str">
        <f>HYPERLINK("http://enext.ua/105-4")</f>
        <v>http://enext.ua/105-4</v>
      </c>
    </row>
    <row r="4372" spans="2:7" ht="11.25" outlineLevel="5" x14ac:dyDescent="0.2">
      <c r="B4372" s="14" t="s">
        <v>8277</v>
      </c>
      <c r="C4372" s="14" t="s">
        <v>8278</v>
      </c>
      <c r="D4372" s="14">
        <v>1</v>
      </c>
      <c r="E4372" s="15">
        <v>134.11000000000001</v>
      </c>
      <c r="F4372" s="16" t="s">
        <v>8</v>
      </c>
      <c r="G4372" s="38" t="str">
        <f>HYPERLINK("http://enext.ua/110-4")</f>
        <v>http://enext.ua/110-4</v>
      </c>
    </row>
    <row r="4373" spans="2:7" ht="11.25" outlineLevel="5" x14ac:dyDescent="0.2">
      <c r="B4373" s="14" t="s">
        <v>8279</v>
      </c>
      <c r="C4373" s="14" t="s">
        <v>8280</v>
      </c>
      <c r="D4373" s="14">
        <v>1</v>
      </c>
      <c r="E4373" s="15">
        <v>101.59</v>
      </c>
      <c r="F4373" s="16" t="s">
        <v>8</v>
      </c>
      <c r="G4373" s="38" t="str">
        <f>HYPERLINK("http://enext.ua/205-4")</f>
        <v>http://enext.ua/205-4</v>
      </c>
    </row>
    <row r="4374" spans="2:7" ht="11.25" outlineLevel="5" x14ac:dyDescent="0.2">
      <c r="B4374" s="14" t="s">
        <v>8281</v>
      </c>
      <c r="C4374" s="14" t="s">
        <v>8282</v>
      </c>
      <c r="D4374" s="14">
        <v>1</v>
      </c>
      <c r="E4374" s="15">
        <v>118.99</v>
      </c>
      <c r="F4374" s="16" t="s">
        <v>8</v>
      </c>
      <c r="G4374" s="38" t="str">
        <f>HYPERLINK("http://enext.ua/210-4")</f>
        <v>http://enext.ua/210-4</v>
      </c>
    </row>
    <row r="4375" spans="2:7" ht="11.25" outlineLevel="5" x14ac:dyDescent="0.2">
      <c r="B4375" s="14" t="s">
        <v>8283</v>
      </c>
      <c r="C4375" s="14" t="s">
        <v>8284</v>
      </c>
      <c r="D4375" s="14">
        <v>1</v>
      </c>
      <c r="E4375" s="15">
        <v>40.090000000000003</v>
      </c>
      <c r="F4375" s="16" t="s">
        <v>8</v>
      </c>
      <c r="G4375" s="14"/>
    </row>
    <row r="4376" spans="2:7" ht="11.25" outlineLevel="5" x14ac:dyDescent="0.2">
      <c r="B4376" s="14" t="s">
        <v>8285</v>
      </c>
      <c r="C4376" s="14" t="s">
        <v>8286</v>
      </c>
      <c r="D4376" s="14">
        <v>1</v>
      </c>
      <c r="E4376" s="15">
        <v>51.68</v>
      </c>
      <c r="F4376" s="16" t="s">
        <v>8</v>
      </c>
      <c r="G4376" s="14"/>
    </row>
    <row r="4377" spans="2:7" ht="11.25" outlineLevel="5" x14ac:dyDescent="0.2">
      <c r="B4377" s="14" t="s">
        <v>8287</v>
      </c>
      <c r="C4377" s="14" t="s">
        <v>8288</v>
      </c>
      <c r="D4377" s="14">
        <v>1</v>
      </c>
      <c r="E4377" s="15">
        <v>166.15</v>
      </c>
      <c r="F4377" s="16" t="s">
        <v>8</v>
      </c>
      <c r="G4377" s="38" t="str">
        <f>HYPERLINK("http://enext.ua/310-4")</f>
        <v>http://enext.ua/310-4</v>
      </c>
    </row>
    <row r="4378" spans="2:7" ht="11.25" outlineLevel="5" x14ac:dyDescent="0.2">
      <c r="B4378" s="14" t="s">
        <v>8289</v>
      </c>
      <c r="C4378" s="14" t="s">
        <v>8290</v>
      </c>
      <c r="D4378" s="14">
        <v>1</v>
      </c>
      <c r="E4378" s="15">
        <v>30.71</v>
      </c>
      <c r="F4378" s="16" t="s">
        <v>8</v>
      </c>
      <c r="G4378" s="38" t="str">
        <f>HYPERLINK("http://enext.ua/901-4A")</f>
        <v>http://enext.ua/901-4A</v>
      </c>
    </row>
    <row r="4379" spans="2:7" ht="11.25" outlineLevel="5" x14ac:dyDescent="0.2">
      <c r="B4379" s="14" t="s">
        <v>8291</v>
      </c>
      <c r="C4379" s="14" t="s">
        <v>8292</v>
      </c>
      <c r="D4379" s="14">
        <v>1</v>
      </c>
      <c r="E4379" s="15">
        <v>463.08</v>
      </c>
      <c r="F4379" s="16" t="s">
        <v>8</v>
      </c>
      <c r="G4379" s="38" t="str">
        <f>HYPERLINK("http://enext.ua/AGY10-4A")</f>
        <v>http://enext.ua/AGY10-4A</v>
      </c>
    </row>
    <row r="4380" spans="2:7" ht="11.25" outlineLevel="5" x14ac:dyDescent="0.2">
      <c r="B4380" s="14" t="s">
        <v>8293</v>
      </c>
      <c r="C4380" s="14" t="s">
        <v>8294</v>
      </c>
      <c r="D4380" s="14">
        <v>1</v>
      </c>
      <c r="E4380" s="15">
        <v>74.11</v>
      </c>
      <c r="F4380" s="16" t="s">
        <v>8</v>
      </c>
      <c r="G4380" s="38" t="str">
        <f>HYPERLINK("http://enext.ua/505-605-4A")</f>
        <v>http://enext.ua/505-605-4A</v>
      </c>
    </row>
    <row r="4381" spans="2:7" ht="11.25" outlineLevel="5" x14ac:dyDescent="0.2">
      <c r="B4381" s="14" t="s">
        <v>8295</v>
      </c>
      <c r="C4381" s="14" t="s">
        <v>8296</v>
      </c>
      <c r="D4381" s="14">
        <v>1</v>
      </c>
      <c r="E4381" s="15">
        <v>119.74</v>
      </c>
      <c r="F4381" s="16" t="s">
        <v>8</v>
      </c>
      <c r="G4381" s="38" t="str">
        <f>HYPERLINK("http://enext.ua/510-610-4A")</f>
        <v>http://enext.ua/510-610-4A</v>
      </c>
    </row>
    <row r="4382" spans="2:7" ht="12" outlineLevel="4" x14ac:dyDescent="0.2">
      <c r="B4382" s="12"/>
      <c r="C4382" s="37" t="s">
        <v>8297</v>
      </c>
      <c r="D4382" s="12"/>
      <c r="E4382" s="13"/>
      <c r="F4382" s="13"/>
      <c r="G4382" s="12"/>
    </row>
    <row r="4383" spans="2:7" ht="11.25" outlineLevel="5" x14ac:dyDescent="0.2">
      <c r="B4383" s="14" t="s">
        <v>8298</v>
      </c>
      <c r="C4383" s="14" t="s">
        <v>8299</v>
      </c>
      <c r="D4383" s="14">
        <v>1</v>
      </c>
      <c r="E4383" s="15">
        <v>91.43</v>
      </c>
      <c r="F4383" s="16" t="s">
        <v>8</v>
      </c>
      <c r="G4383" s="38" t="str">
        <f>HYPERLINK("http://enext.ua/105-5")</f>
        <v>http://enext.ua/105-5</v>
      </c>
    </row>
    <row r="4384" spans="2:7" ht="11.25" outlineLevel="5" x14ac:dyDescent="0.2">
      <c r="B4384" s="14" t="s">
        <v>8300</v>
      </c>
      <c r="C4384" s="14" t="s">
        <v>8301</v>
      </c>
      <c r="D4384" s="14">
        <v>1</v>
      </c>
      <c r="E4384" s="15">
        <v>152.41999999999999</v>
      </c>
      <c r="F4384" s="16" t="s">
        <v>8</v>
      </c>
      <c r="G4384" s="38" t="str">
        <f>HYPERLINK("http://enext.ua/116-5")</f>
        <v>http://enext.ua/116-5</v>
      </c>
    </row>
    <row r="4385" spans="2:7" ht="11.25" outlineLevel="5" x14ac:dyDescent="0.2">
      <c r="B4385" s="14" t="s">
        <v>8302</v>
      </c>
      <c r="C4385" s="14" t="s">
        <v>8303</v>
      </c>
      <c r="D4385" s="14">
        <v>1</v>
      </c>
      <c r="E4385" s="15">
        <v>157.97999999999999</v>
      </c>
      <c r="F4385" s="16" t="s">
        <v>8</v>
      </c>
      <c r="G4385" s="38" t="str">
        <f>HYPERLINK("http://enext.ua/120-5")</f>
        <v>http://enext.ua/120-5</v>
      </c>
    </row>
    <row r="4386" spans="2:7" ht="11.25" outlineLevel="5" x14ac:dyDescent="0.2">
      <c r="B4386" s="14" t="s">
        <v>8304</v>
      </c>
      <c r="C4386" s="14" t="s">
        <v>8305</v>
      </c>
      <c r="D4386" s="14">
        <v>1</v>
      </c>
      <c r="E4386" s="15">
        <v>273.3</v>
      </c>
      <c r="F4386" s="16" t="s">
        <v>8</v>
      </c>
      <c r="G4386" s="38" t="str">
        <f>HYPERLINK("http://enext.ua/130-5")</f>
        <v>http://enext.ua/130-5</v>
      </c>
    </row>
    <row r="4387" spans="2:7" ht="11.25" outlineLevel="5" x14ac:dyDescent="0.2">
      <c r="B4387" s="14" t="s">
        <v>8306</v>
      </c>
      <c r="C4387" s="14" t="s">
        <v>8307</v>
      </c>
      <c r="D4387" s="14">
        <v>1</v>
      </c>
      <c r="E4387" s="15">
        <v>408.72</v>
      </c>
      <c r="F4387" s="16" t="s">
        <v>8</v>
      </c>
      <c r="G4387" s="38" t="str">
        <f>HYPERLINK("http://enext.ua/140-5")</f>
        <v>http://enext.ua/140-5</v>
      </c>
    </row>
    <row r="4388" spans="2:7" ht="11.25" outlineLevel="5" x14ac:dyDescent="0.2">
      <c r="B4388" s="14" t="s">
        <v>8308</v>
      </c>
      <c r="C4388" s="14" t="s">
        <v>8309</v>
      </c>
      <c r="D4388" s="14">
        <v>1</v>
      </c>
      <c r="E4388" s="15">
        <v>104.34</v>
      </c>
      <c r="F4388" s="16" t="s">
        <v>8</v>
      </c>
      <c r="G4388" s="38" t="str">
        <f>HYPERLINK("http://enext.ua/205-5")</f>
        <v>http://enext.ua/205-5</v>
      </c>
    </row>
    <row r="4389" spans="2:7" ht="11.25" outlineLevel="5" x14ac:dyDescent="0.2">
      <c r="B4389" s="14" t="s">
        <v>8310</v>
      </c>
      <c r="C4389" s="14" t="s">
        <v>8311</v>
      </c>
      <c r="D4389" s="14">
        <v>1</v>
      </c>
      <c r="E4389" s="15">
        <v>202.81</v>
      </c>
      <c r="F4389" s="16" t="s">
        <v>8</v>
      </c>
      <c r="G4389" s="38" t="str">
        <f>HYPERLINK("http://enext.ua/220-5")</f>
        <v>http://enext.ua/220-5</v>
      </c>
    </row>
    <row r="4390" spans="2:7" ht="11.25" outlineLevel="5" x14ac:dyDescent="0.2">
      <c r="B4390" s="14" t="s">
        <v>8312</v>
      </c>
      <c r="C4390" s="14" t="s">
        <v>8313</v>
      </c>
      <c r="D4390" s="14">
        <v>1</v>
      </c>
      <c r="E4390" s="15">
        <v>314.47000000000003</v>
      </c>
      <c r="F4390" s="16" t="s">
        <v>8</v>
      </c>
      <c r="G4390" s="38" t="str">
        <f>HYPERLINK("http://enext.ua/230-5")</f>
        <v>http://enext.ua/230-5</v>
      </c>
    </row>
    <row r="4391" spans="2:7" ht="11.25" outlineLevel="5" x14ac:dyDescent="0.2">
      <c r="B4391" s="14" t="s">
        <v>8314</v>
      </c>
      <c r="C4391" s="14" t="s">
        <v>8315</v>
      </c>
      <c r="D4391" s="14">
        <v>1</v>
      </c>
      <c r="E4391" s="15">
        <v>469.71</v>
      </c>
      <c r="F4391" s="16" t="s">
        <v>8</v>
      </c>
      <c r="G4391" s="38" t="str">
        <f>HYPERLINK("http://enext.ua/240-5")</f>
        <v>http://enext.ua/240-5</v>
      </c>
    </row>
    <row r="4392" spans="2:7" ht="11.25" outlineLevel="5" x14ac:dyDescent="0.2">
      <c r="B4392" s="14" t="s">
        <v>8316</v>
      </c>
      <c r="C4392" s="14" t="s">
        <v>8317</v>
      </c>
      <c r="D4392" s="14">
        <v>1</v>
      </c>
      <c r="E4392" s="15">
        <v>50.38</v>
      </c>
      <c r="F4392" s="16" t="s">
        <v>8</v>
      </c>
      <c r="G4392" s="38" t="str">
        <f>HYPERLINK("http://enext.ua/205-5P")</f>
        <v>http://enext.ua/205-5P</v>
      </c>
    </row>
    <row r="4393" spans="2:7" ht="11.25" outlineLevel="5" x14ac:dyDescent="0.2">
      <c r="B4393" s="14" t="s">
        <v>8318</v>
      </c>
      <c r="C4393" s="14" t="s">
        <v>8319</v>
      </c>
      <c r="D4393" s="14">
        <v>1</v>
      </c>
      <c r="E4393" s="15">
        <v>62.27</v>
      </c>
      <c r="F4393" s="16" t="s">
        <v>8</v>
      </c>
      <c r="G4393" s="38" t="str">
        <f>HYPERLINK("http://enext.ua/210-5P")</f>
        <v>http://enext.ua/210-5P</v>
      </c>
    </row>
    <row r="4394" spans="2:7" ht="11.25" outlineLevel="5" x14ac:dyDescent="0.2">
      <c r="B4394" s="14" t="s">
        <v>8320</v>
      </c>
      <c r="C4394" s="14" t="s">
        <v>8321</v>
      </c>
      <c r="D4394" s="14">
        <v>1</v>
      </c>
      <c r="E4394" s="15">
        <v>77.44</v>
      </c>
      <c r="F4394" s="16" t="s">
        <v>8</v>
      </c>
      <c r="G4394" s="38" t="str">
        <f>HYPERLINK("http://enext.ua/216-5P")</f>
        <v>http://enext.ua/216-5P</v>
      </c>
    </row>
    <row r="4395" spans="2:7" ht="11.25" outlineLevel="5" x14ac:dyDescent="0.2">
      <c r="B4395" s="14" t="s">
        <v>8322</v>
      </c>
      <c r="C4395" s="14" t="s">
        <v>8323</v>
      </c>
      <c r="D4395" s="14">
        <v>1</v>
      </c>
      <c r="E4395" s="15">
        <v>86.91</v>
      </c>
      <c r="F4395" s="16" t="s">
        <v>8</v>
      </c>
      <c r="G4395" s="38" t="str">
        <f>HYPERLINK("http://enext.ua/220-5P")</f>
        <v>http://enext.ua/220-5P</v>
      </c>
    </row>
    <row r="4396" spans="2:7" ht="11.25" outlineLevel="5" x14ac:dyDescent="0.2">
      <c r="B4396" s="14" t="s">
        <v>8324</v>
      </c>
      <c r="C4396" s="14" t="s">
        <v>8325</v>
      </c>
      <c r="D4396" s="14">
        <v>1</v>
      </c>
      <c r="E4396" s="15">
        <v>106.71</v>
      </c>
      <c r="F4396" s="16" t="s">
        <v>8</v>
      </c>
      <c r="G4396" s="38" t="str">
        <f>HYPERLINK("http://enext.ua/230-5P")</f>
        <v>http://enext.ua/230-5P</v>
      </c>
    </row>
    <row r="4397" spans="2:7" ht="11.25" outlineLevel="5" x14ac:dyDescent="0.2">
      <c r="B4397" s="14" t="s">
        <v>8326</v>
      </c>
      <c r="C4397" s="14" t="s">
        <v>8327</v>
      </c>
      <c r="D4397" s="14">
        <v>1</v>
      </c>
      <c r="E4397" s="15">
        <v>126.07</v>
      </c>
      <c r="F4397" s="16" t="s">
        <v>8</v>
      </c>
      <c r="G4397" s="38" t="str">
        <f>HYPERLINK("http://enext.ua/240-5P")</f>
        <v>http://enext.ua/240-5P</v>
      </c>
    </row>
    <row r="4398" spans="2:7" ht="11.25" outlineLevel="5" x14ac:dyDescent="0.2">
      <c r="B4398" s="14" t="s">
        <v>8328</v>
      </c>
      <c r="C4398" s="14" t="s">
        <v>8329</v>
      </c>
      <c r="D4398" s="14">
        <v>1</v>
      </c>
      <c r="E4398" s="15">
        <v>250.53</v>
      </c>
      <c r="F4398" s="16" t="s">
        <v>8</v>
      </c>
      <c r="G4398" s="38" t="str">
        <f>HYPERLINK("http://enext.ua/310-5")</f>
        <v>http://enext.ua/310-5</v>
      </c>
    </row>
    <row r="4399" spans="2:7" ht="11.25" outlineLevel="5" x14ac:dyDescent="0.2">
      <c r="B4399" s="14" t="s">
        <v>8330</v>
      </c>
      <c r="C4399" s="14" t="s">
        <v>8331</v>
      </c>
      <c r="D4399" s="14">
        <v>1</v>
      </c>
      <c r="E4399" s="15">
        <v>274.77999999999997</v>
      </c>
      <c r="F4399" s="16" t="s">
        <v>8</v>
      </c>
      <c r="G4399" s="38" t="str">
        <f>HYPERLINK("http://enext.ua/316-5")</f>
        <v>http://enext.ua/316-5</v>
      </c>
    </row>
    <row r="4400" spans="2:7" ht="11.25" outlineLevel="5" x14ac:dyDescent="0.2">
      <c r="B4400" s="14" t="s">
        <v>8332</v>
      </c>
      <c r="C4400" s="14" t="s">
        <v>8333</v>
      </c>
      <c r="D4400" s="14">
        <v>1</v>
      </c>
      <c r="E4400" s="15">
        <v>324.05</v>
      </c>
      <c r="F4400" s="16" t="s">
        <v>8</v>
      </c>
      <c r="G4400" s="38" t="str">
        <f>HYPERLINK("http://enext.ua/320-5")</f>
        <v>http://enext.ua/320-5</v>
      </c>
    </row>
    <row r="4401" spans="2:7" ht="11.25" outlineLevel="5" x14ac:dyDescent="0.2">
      <c r="B4401" s="14" t="s">
        <v>8334</v>
      </c>
      <c r="C4401" s="14" t="s">
        <v>8335</v>
      </c>
      <c r="D4401" s="14">
        <v>1</v>
      </c>
      <c r="E4401" s="15">
        <v>435.11</v>
      </c>
      <c r="F4401" s="16" t="s">
        <v>8</v>
      </c>
      <c r="G4401" s="38" t="str">
        <f>HYPERLINK("http://enext.ua/330-5")</f>
        <v>http://enext.ua/330-5</v>
      </c>
    </row>
    <row r="4402" spans="2:7" ht="11.25" outlineLevel="5" x14ac:dyDescent="0.2">
      <c r="B4402" s="14" t="s">
        <v>8336</v>
      </c>
      <c r="C4402" s="14" t="s">
        <v>8337</v>
      </c>
      <c r="D4402" s="14">
        <v>1</v>
      </c>
      <c r="E4402" s="15">
        <v>503.83</v>
      </c>
      <c r="F4402" s="16" t="s">
        <v>8</v>
      </c>
      <c r="G4402" s="38" t="str">
        <f>HYPERLINK("http://enext.ua/340-5")</f>
        <v>http://enext.ua/340-5</v>
      </c>
    </row>
    <row r="4403" spans="2:7" ht="11.25" outlineLevel="5" x14ac:dyDescent="0.2">
      <c r="B4403" s="14" t="s">
        <v>8338</v>
      </c>
      <c r="C4403" s="14" t="s">
        <v>8339</v>
      </c>
      <c r="D4403" s="14">
        <v>1</v>
      </c>
      <c r="E4403" s="15">
        <v>19.170000000000002</v>
      </c>
      <c r="F4403" s="16" t="s">
        <v>8</v>
      </c>
      <c r="G4403" s="38" t="str">
        <f>HYPERLINK("http://enext.ua/405-5P-L")</f>
        <v>http://enext.ua/405-5P-L</v>
      </c>
    </row>
    <row r="4404" spans="2:7" ht="11.25" outlineLevel="5" x14ac:dyDescent="0.2">
      <c r="B4404" s="14" t="s">
        <v>8340</v>
      </c>
      <c r="C4404" s="14" t="s">
        <v>8341</v>
      </c>
      <c r="D4404" s="14">
        <v>1</v>
      </c>
      <c r="E4404" s="15">
        <v>21.33</v>
      </c>
      <c r="F4404" s="16" t="s">
        <v>8</v>
      </c>
      <c r="G4404" s="38" t="str">
        <f>HYPERLINK("http://enext.ua/410-5P-L")</f>
        <v>http://enext.ua/410-5P-L</v>
      </c>
    </row>
    <row r="4405" spans="2:7" ht="11.25" outlineLevel="5" x14ac:dyDescent="0.2">
      <c r="B4405" s="14" t="s">
        <v>8342</v>
      </c>
      <c r="C4405" s="14" t="s">
        <v>8343</v>
      </c>
      <c r="D4405" s="14">
        <v>1</v>
      </c>
      <c r="E4405" s="15">
        <v>28.49</v>
      </c>
      <c r="F4405" s="16" t="s">
        <v>8</v>
      </c>
      <c r="G4405" s="38" t="str">
        <f>HYPERLINK("http://enext.ua/405-5P-M")</f>
        <v>http://enext.ua/405-5P-M</v>
      </c>
    </row>
    <row r="4406" spans="2:7" ht="11.25" outlineLevel="5" x14ac:dyDescent="0.2">
      <c r="B4406" s="14" t="s">
        <v>8344</v>
      </c>
      <c r="C4406" s="14" t="s">
        <v>8345</v>
      </c>
      <c r="D4406" s="14">
        <v>1</v>
      </c>
      <c r="E4406" s="15">
        <v>31.14</v>
      </c>
      <c r="F4406" s="16" t="s">
        <v>8</v>
      </c>
      <c r="G4406" s="38" t="str">
        <f>HYPERLINK("http://enext.ua/410-5P-M")</f>
        <v>http://enext.ua/410-5P-M</v>
      </c>
    </row>
    <row r="4407" spans="2:7" ht="11.25" outlineLevel="5" x14ac:dyDescent="0.2">
      <c r="B4407" s="14" t="s">
        <v>8346</v>
      </c>
      <c r="C4407" s="14" t="s">
        <v>8347</v>
      </c>
      <c r="D4407" s="14">
        <v>1</v>
      </c>
      <c r="E4407" s="15">
        <v>19.170000000000002</v>
      </c>
      <c r="F4407" s="16" t="s">
        <v>8</v>
      </c>
      <c r="G4407" s="38" t="str">
        <f>HYPERLINK("http://enext.ua/405-5P-R")</f>
        <v>http://enext.ua/405-5P-R</v>
      </c>
    </row>
    <row r="4408" spans="2:7" ht="11.25" outlineLevel="5" x14ac:dyDescent="0.2">
      <c r="B4408" s="14" t="s">
        <v>8348</v>
      </c>
      <c r="C4408" s="14" t="s">
        <v>8349</v>
      </c>
      <c r="D4408" s="14">
        <v>1</v>
      </c>
      <c r="E4408" s="15">
        <v>21.33</v>
      </c>
      <c r="F4408" s="16" t="s">
        <v>8</v>
      </c>
      <c r="G4408" s="38" t="str">
        <f>HYPERLINK("http://enext.ua/410-5P-R")</f>
        <v>http://enext.ua/410-5P-R</v>
      </c>
    </row>
    <row r="4409" spans="2:7" ht="11.25" outlineLevel="5" x14ac:dyDescent="0.2">
      <c r="B4409" s="14" t="s">
        <v>8350</v>
      </c>
      <c r="C4409" s="14" t="s">
        <v>8351</v>
      </c>
      <c r="D4409" s="14">
        <v>1</v>
      </c>
      <c r="E4409" s="15">
        <v>31.58</v>
      </c>
      <c r="F4409" s="16" t="s">
        <v>8</v>
      </c>
      <c r="G4409" s="38" t="str">
        <f>HYPERLINK("http://enext.ua/901-5A")</f>
        <v>http://enext.ua/901-5A</v>
      </c>
    </row>
    <row r="4410" spans="2:7" ht="11.25" outlineLevel="5" x14ac:dyDescent="0.2">
      <c r="B4410" s="14" t="s">
        <v>8352</v>
      </c>
      <c r="C4410" s="14" t="s">
        <v>8353</v>
      </c>
      <c r="D4410" s="14">
        <v>1</v>
      </c>
      <c r="E4410" s="15">
        <v>470.25</v>
      </c>
      <c r="F4410" s="16" t="s">
        <v>8</v>
      </c>
      <c r="G4410" s="38" t="str">
        <f>HYPERLINK("http://enext.ua/AG10-5A")</f>
        <v>http://enext.ua/AG10-5A</v>
      </c>
    </row>
    <row r="4411" spans="2:7" ht="11.25" outlineLevel="5" x14ac:dyDescent="0.2">
      <c r="B4411" s="14" t="s">
        <v>8354</v>
      </c>
      <c r="C4411" s="14" t="s">
        <v>8355</v>
      </c>
      <c r="D4411" s="14">
        <v>1</v>
      </c>
      <c r="E4411" s="15">
        <v>627.69000000000005</v>
      </c>
      <c r="F4411" s="16" t="s">
        <v>8</v>
      </c>
      <c r="G4411" s="38" t="str">
        <f>HYPERLINK("http://enext.ua/AG16-5A")</f>
        <v>http://enext.ua/AG16-5A</v>
      </c>
    </row>
    <row r="4412" spans="2:7" ht="11.25" outlineLevel="5" x14ac:dyDescent="0.2">
      <c r="B4412" s="14" t="s">
        <v>8356</v>
      </c>
      <c r="C4412" s="14" t="s">
        <v>8357</v>
      </c>
      <c r="D4412" s="14">
        <v>1</v>
      </c>
      <c r="E4412" s="15">
        <v>921.32</v>
      </c>
      <c r="F4412" s="16" t="s">
        <v>8</v>
      </c>
      <c r="G4412" s="38" t="str">
        <f>HYPERLINK("http://enext.ua/AG30-5A")</f>
        <v>http://enext.ua/AG30-5A</v>
      </c>
    </row>
    <row r="4413" spans="2:7" ht="11.25" outlineLevel="5" x14ac:dyDescent="0.2">
      <c r="B4413" s="14" t="s">
        <v>8358</v>
      </c>
      <c r="C4413" s="14" t="s">
        <v>8359</v>
      </c>
      <c r="D4413" s="14">
        <v>1</v>
      </c>
      <c r="E4413" s="15">
        <v>912.66</v>
      </c>
      <c r="F4413" s="16" t="s">
        <v>8</v>
      </c>
      <c r="G4413" s="38" t="str">
        <f>HYPERLINK("http://enext.ua/AG40-5A")</f>
        <v>http://enext.ua/AG40-5A</v>
      </c>
    </row>
    <row r="4414" spans="2:7" ht="11.25" outlineLevel="5" x14ac:dyDescent="0.2">
      <c r="B4414" s="14" t="s">
        <v>8360</v>
      </c>
      <c r="C4414" s="14" t="s">
        <v>8361</v>
      </c>
      <c r="D4414" s="14">
        <v>1</v>
      </c>
      <c r="E4414" s="15">
        <v>543.16</v>
      </c>
      <c r="F4414" s="16" t="s">
        <v>8</v>
      </c>
      <c r="G4414" s="38" t="str">
        <f>HYPERLINK("http://enext.ua/AGY16-5A")</f>
        <v>http://enext.ua/AGY16-5A</v>
      </c>
    </row>
    <row r="4415" spans="2:7" ht="11.25" outlineLevel="5" x14ac:dyDescent="0.2">
      <c r="B4415" s="14" t="s">
        <v>8362</v>
      </c>
      <c r="C4415" s="14" t="s">
        <v>8363</v>
      </c>
      <c r="D4415" s="14">
        <v>1</v>
      </c>
      <c r="E4415" s="15">
        <v>605.35</v>
      </c>
      <c r="F4415" s="16" t="s">
        <v>8</v>
      </c>
      <c r="G4415" s="38" t="str">
        <f>HYPERLINK("http://enext.ua/AGY20-5A")</f>
        <v>http://enext.ua/AGY20-5A</v>
      </c>
    </row>
    <row r="4416" spans="2:7" ht="11.25" outlineLevel="5" x14ac:dyDescent="0.2">
      <c r="B4416" s="14" t="s">
        <v>8364</v>
      </c>
      <c r="C4416" s="14" t="s">
        <v>8365</v>
      </c>
      <c r="D4416" s="14">
        <v>1</v>
      </c>
      <c r="E4416" s="15">
        <v>734.23</v>
      </c>
      <c r="F4416" s="16" t="s">
        <v>8</v>
      </c>
      <c r="G4416" s="38" t="str">
        <f>HYPERLINK("http://enext.ua/AGY30-5A")</f>
        <v>http://enext.ua/AGY30-5A</v>
      </c>
    </row>
    <row r="4417" spans="2:7" ht="11.25" outlineLevel="5" x14ac:dyDescent="0.2">
      <c r="B4417" s="14" t="s">
        <v>8366</v>
      </c>
      <c r="C4417" s="14" t="s">
        <v>8367</v>
      </c>
      <c r="D4417" s="14">
        <v>1</v>
      </c>
      <c r="E4417" s="15">
        <v>792.35</v>
      </c>
      <c r="F4417" s="16" t="s">
        <v>8</v>
      </c>
      <c r="G4417" s="38" t="str">
        <f>HYPERLINK("http://enext.ua/AGY40-5A")</f>
        <v>http://enext.ua/AGY40-5A</v>
      </c>
    </row>
    <row r="4418" spans="2:7" ht="11.25" outlineLevel="5" x14ac:dyDescent="0.2">
      <c r="B4418" s="14" t="s">
        <v>8368</v>
      </c>
      <c r="C4418" s="14" t="s">
        <v>8369</v>
      </c>
      <c r="D4418" s="14">
        <v>1</v>
      </c>
      <c r="E4418" s="15">
        <v>97.35</v>
      </c>
      <c r="F4418" s="16" t="s">
        <v>8</v>
      </c>
      <c r="G4418" s="38" t="str">
        <f>HYPERLINK("http://enext.ua/505-605-5A")</f>
        <v>http://enext.ua/505-605-5A</v>
      </c>
    </row>
    <row r="4419" spans="2:7" ht="11.25" outlineLevel="5" x14ac:dyDescent="0.2">
      <c r="B4419" s="14" t="s">
        <v>8370</v>
      </c>
      <c r="C4419" s="14" t="s">
        <v>8371</v>
      </c>
      <c r="D4419" s="14">
        <v>1</v>
      </c>
      <c r="E4419" s="15">
        <v>190.58</v>
      </c>
      <c r="F4419" s="16" t="s">
        <v>8</v>
      </c>
      <c r="G4419" s="38" t="str">
        <f>HYPERLINK("http://enext.ua/516-616-5A")</f>
        <v>http://enext.ua/516-616-5A</v>
      </c>
    </row>
    <row r="4420" spans="2:7" ht="11.25" outlineLevel="5" x14ac:dyDescent="0.2">
      <c r="B4420" s="14" t="s">
        <v>8372</v>
      </c>
      <c r="C4420" s="14" t="s">
        <v>8373</v>
      </c>
      <c r="D4420" s="14">
        <v>1</v>
      </c>
      <c r="E4420" s="15">
        <v>270.33</v>
      </c>
      <c r="F4420" s="16" t="s">
        <v>8</v>
      </c>
      <c r="G4420" s="38" t="str">
        <f>HYPERLINK("http://enext.ua/520-620-5A")</f>
        <v>http://enext.ua/520-620-5A</v>
      </c>
    </row>
    <row r="4421" spans="2:7" ht="11.25" outlineLevel="5" x14ac:dyDescent="0.2">
      <c r="B4421" s="14" t="s">
        <v>8374</v>
      </c>
      <c r="C4421" s="14" t="s">
        <v>8375</v>
      </c>
      <c r="D4421" s="14">
        <v>1</v>
      </c>
      <c r="E4421" s="15">
        <v>413.84</v>
      </c>
      <c r="F4421" s="16" t="s">
        <v>8</v>
      </c>
      <c r="G4421" s="38" t="str">
        <f>HYPERLINK("http://enext.ua/540-640-5A")</f>
        <v>http://enext.ua/540-640-5A</v>
      </c>
    </row>
    <row r="4422" spans="2:7" ht="12" outlineLevel="4" x14ac:dyDescent="0.2">
      <c r="B4422" s="12"/>
      <c r="C4422" s="37" t="s">
        <v>8376</v>
      </c>
      <c r="D4422" s="12"/>
      <c r="E4422" s="13"/>
      <c r="F4422" s="13"/>
      <c r="G4422" s="12"/>
    </row>
    <row r="4423" spans="2:7" ht="11.25" outlineLevel="5" x14ac:dyDescent="0.2">
      <c r="B4423" s="14" t="s">
        <v>8377</v>
      </c>
      <c r="C4423" s="14" t="s">
        <v>8378</v>
      </c>
      <c r="D4423" s="14">
        <v>1</v>
      </c>
      <c r="E4423" s="15">
        <v>22.4</v>
      </c>
      <c r="F4423" s="16" t="s">
        <v>8</v>
      </c>
      <c r="G4423" s="14"/>
    </row>
    <row r="4424" spans="2:7" ht="11.25" outlineLevel="5" x14ac:dyDescent="0.2">
      <c r="B4424" s="14" t="s">
        <v>8379</v>
      </c>
      <c r="C4424" s="14" t="s">
        <v>8380</v>
      </c>
      <c r="D4424" s="14">
        <v>1</v>
      </c>
      <c r="E4424" s="15">
        <v>40.07</v>
      </c>
      <c r="F4424" s="16" t="s">
        <v>8</v>
      </c>
      <c r="G4424" s="14"/>
    </row>
    <row r="4425" spans="2:7" ht="11.25" outlineLevel="5" x14ac:dyDescent="0.2">
      <c r="B4425" s="14" t="s">
        <v>8381</v>
      </c>
      <c r="C4425" s="14" t="s">
        <v>8382</v>
      </c>
      <c r="D4425" s="14">
        <v>1</v>
      </c>
      <c r="E4425" s="15">
        <v>130.65</v>
      </c>
      <c r="F4425" s="16" t="s">
        <v>8</v>
      </c>
      <c r="G4425" s="38" t="str">
        <f>HYPERLINK("http://enext.ua/110-8")</f>
        <v>http://enext.ua/110-8</v>
      </c>
    </row>
    <row r="4426" spans="2:7" ht="11.25" outlineLevel="5" x14ac:dyDescent="0.2">
      <c r="B4426" s="14" t="s">
        <v>8383</v>
      </c>
      <c r="C4426" s="14" t="s">
        <v>8384</v>
      </c>
      <c r="D4426" s="14">
        <v>1</v>
      </c>
      <c r="E4426" s="15">
        <v>160.59</v>
      </c>
      <c r="F4426" s="16" t="s">
        <v>8</v>
      </c>
      <c r="G4426" s="38" t="str">
        <f>HYPERLINK("http://enext.ua/116-8")</f>
        <v>http://enext.ua/116-8</v>
      </c>
    </row>
    <row r="4427" spans="2:7" ht="11.25" outlineLevel="5" x14ac:dyDescent="0.2">
      <c r="B4427" s="14" t="s">
        <v>8385</v>
      </c>
      <c r="C4427" s="14" t="s">
        <v>8386</v>
      </c>
      <c r="D4427" s="14">
        <v>1</v>
      </c>
      <c r="E4427" s="15">
        <v>223.13</v>
      </c>
      <c r="F4427" s="16" t="s">
        <v>8</v>
      </c>
      <c r="G4427" s="38" t="str">
        <f>HYPERLINK("http://enext.ua/120-8")</f>
        <v>http://enext.ua/120-8</v>
      </c>
    </row>
    <row r="4428" spans="2:7" ht="11.25" outlineLevel="5" x14ac:dyDescent="0.2">
      <c r="B4428" s="14" t="s">
        <v>8387</v>
      </c>
      <c r="C4428" s="14" t="s">
        <v>8388</v>
      </c>
      <c r="D4428" s="14">
        <v>1</v>
      </c>
      <c r="E4428" s="15">
        <v>298.92</v>
      </c>
      <c r="F4428" s="16" t="s">
        <v>8</v>
      </c>
      <c r="G4428" s="38" t="str">
        <f>HYPERLINK("http://enext.ua/130-8")</f>
        <v>http://enext.ua/130-8</v>
      </c>
    </row>
    <row r="4429" spans="2:7" ht="11.25" outlineLevel="5" x14ac:dyDescent="0.2">
      <c r="B4429" s="14" t="s">
        <v>8389</v>
      </c>
      <c r="C4429" s="14" t="s">
        <v>8390</v>
      </c>
      <c r="D4429" s="14">
        <v>1</v>
      </c>
      <c r="E4429" s="15">
        <v>428.77</v>
      </c>
      <c r="F4429" s="16" t="s">
        <v>8</v>
      </c>
      <c r="G4429" s="38" t="str">
        <f>HYPERLINK("http://enext.ua/140-8")</f>
        <v>http://enext.ua/140-8</v>
      </c>
    </row>
    <row r="4430" spans="2:7" ht="11.25" outlineLevel="5" x14ac:dyDescent="0.2">
      <c r="B4430" s="14" t="s">
        <v>8391</v>
      </c>
      <c r="C4430" s="14" t="s">
        <v>8392</v>
      </c>
      <c r="D4430" s="14">
        <v>1</v>
      </c>
      <c r="E4430" s="15">
        <v>220.75</v>
      </c>
      <c r="F4430" s="16" t="s">
        <v>8</v>
      </c>
      <c r="G4430" s="38" t="str">
        <f>HYPERLINK("http://enext.ua/216-8")</f>
        <v>http://enext.ua/216-8</v>
      </c>
    </row>
    <row r="4431" spans="2:7" ht="11.25" outlineLevel="5" x14ac:dyDescent="0.2">
      <c r="B4431" s="14" t="s">
        <v>8393</v>
      </c>
      <c r="C4431" s="14" t="s">
        <v>8394</v>
      </c>
      <c r="D4431" s="14">
        <v>1</v>
      </c>
      <c r="E4431" s="15">
        <v>235.28</v>
      </c>
      <c r="F4431" s="16" t="s">
        <v>8</v>
      </c>
      <c r="G4431" s="38" t="str">
        <f>HYPERLINK("http://enext.ua/220-8")</f>
        <v>http://enext.ua/220-8</v>
      </c>
    </row>
    <row r="4432" spans="2:7" ht="11.25" outlineLevel="5" x14ac:dyDescent="0.2">
      <c r="B4432" s="14" t="s">
        <v>8395</v>
      </c>
      <c r="C4432" s="14" t="s">
        <v>8396</v>
      </c>
      <c r="D4432" s="14">
        <v>1</v>
      </c>
      <c r="E4432" s="15">
        <v>344.5</v>
      </c>
      <c r="F4432" s="16" t="s">
        <v>8</v>
      </c>
      <c r="G4432" s="38" t="str">
        <f>HYPERLINK("http://enext.ua/230-8")</f>
        <v>http://enext.ua/230-8</v>
      </c>
    </row>
    <row r="4433" spans="2:7" ht="11.25" outlineLevel="5" x14ac:dyDescent="0.2">
      <c r="B4433" s="14" t="s">
        <v>8397</v>
      </c>
      <c r="C4433" s="14" t="s">
        <v>8398</v>
      </c>
      <c r="D4433" s="14">
        <v>1</v>
      </c>
      <c r="E4433" s="15">
        <v>89.11</v>
      </c>
      <c r="F4433" s="16" t="s">
        <v>8</v>
      </c>
      <c r="G4433" s="38" t="str">
        <f>HYPERLINK("http://enext.ua/210-8P")</f>
        <v>http://enext.ua/210-8P</v>
      </c>
    </row>
    <row r="4434" spans="2:7" ht="11.25" outlineLevel="5" x14ac:dyDescent="0.2">
      <c r="B4434" s="14" t="s">
        <v>8399</v>
      </c>
      <c r="C4434" s="14" t="s">
        <v>8400</v>
      </c>
      <c r="D4434" s="14">
        <v>1</v>
      </c>
      <c r="E4434" s="15">
        <v>105.95</v>
      </c>
      <c r="F4434" s="16" t="s">
        <v>8</v>
      </c>
      <c r="G4434" s="38" t="str">
        <f>HYPERLINK("http://enext.ua/216-8P")</f>
        <v>http://enext.ua/216-8P</v>
      </c>
    </row>
    <row r="4435" spans="2:7" ht="11.25" outlineLevel="5" x14ac:dyDescent="0.2">
      <c r="B4435" s="14" t="s">
        <v>8401</v>
      </c>
      <c r="C4435" s="14" t="s">
        <v>8402</v>
      </c>
      <c r="D4435" s="14">
        <v>1</v>
      </c>
      <c r="E4435" s="15">
        <v>116.33</v>
      </c>
      <c r="F4435" s="16" t="s">
        <v>8</v>
      </c>
      <c r="G4435" s="38" t="str">
        <f>HYPERLINK("http://enext.ua/220-8P")</f>
        <v>http://enext.ua/220-8P</v>
      </c>
    </row>
    <row r="4436" spans="2:7" ht="11.25" outlineLevel="5" x14ac:dyDescent="0.2">
      <c r="B4436" s="14" t="s">
        <v>8403</v>
      </c>
      <c r="C4436" s="14" t="s">
        <v>8404</v>
      </c>
      <c r="D4436" s="14">
        <v>1</v>
      </c>
      <c r="E4436" s="15">
        <v>148.75</v>
      </c>
      <c r="F4436" s="16" t="s">
        <v>8</v>
      </c>
      <c r="G4436" s="38" t="str">
        <f>HYPERLINK("http://enext.ua/230-8P")</f>
        <v>http://enext.ua/230-8P</v>
      </c>
    </row>
    <row r="4437" spans="2:7" ht="11.25" outlineLevel="5" x14ac:dyDescent="0.2">
      <c r="B4437" s="14" t="s">
        <v>8405</v>
      </c>
      <c r="C4437" s="14" t="s">
        <v>8406</v>
      </c>
      <c r="D4437" s="14">
        <v>1</v>
      </c>
      <c r="E4437" s="15">
        <v>283.24</v>
      </c>
      <c r="F4437" s="16" t="s">
        <v>8</v>
      </c>
      <c r="G4437" s="38" t="str">
        <f>HYPERLINK("http://enext.ua/310-8")</f>
        <v>http://enext.ua/310-8</v>
      </c>
    </row>
    <row r="4438" spans="2:7" ht="11.25" outlineLevel="5" x14ac:dyDescent="0.2">
      <c r="B4438" s="14" t="s">
        <v>8407</v>
      </c>
      <c r="C4438" s="14" t="s">
        <v>8408</v>
      </c>
      <c r="D4438" s="14">
        <v>1</v>
      </c>
      <c r="E4438" s="15">
        <v>296.95</v>
      </c>
      <c r="F4438" s="16" t="s">
        <v>8</v>
      </c>
      <c r="G4438" s="38" t="str">
        <f>HYPERLINK("http://enext.ua/316-8")</f>
        <v>http://enext.ua/316-8</v>
      </c>
    </row>
    <row r="4439" spans="2:7" ht="11.25" outlineLevel="5" x14ac:dyDescent="0.2">
      <c r="B4439" s="14" t="s">
        <v>8409</v>
      </c>
      <c r="C4439" s="14" t="s">
        <v>8410</v>
      </c>
      <c r="D4439" s="14">
        <v>1</v>
      </c>
      <c r="E4439" s="15">
        <v>355.9</v>
      </c>
      <c r="F4439" s="16" t="s">
        <v>8</v>
      </c>
      <c r="G4439" s="38" t="str">
        <f>HYPERLINK("http://enext.ua/320-8")</f>
        <v>http://enext.ua/320-8</v>
      </c>
    </row>
    <row r="4440" spans="2:7" ht="11.25" outlineLevel="5" x14ac:dyDescent="0.2">
      <c r="B4440" s="14" t="s">
        <v>8411</v>
      </c>
      <c r="C4440" s="14" t="s">
        <v>8412</v>
      </c>
      <c r="D4440" s="14">
        <v>1</v>
      </c>
      <c r="E4440" s="15">
        <v>495.02</v>
      </c>
      <c r="F4440" s="16" t="s">
        <v>8</v>
      </c>
      <c r="G4440" s="38" t="str">
        <f>HYPERLINK("http://enext.ua/330-8")</f>
        <v>http://enext.ua/330-8</v>
      </c>
    </row>
    <row r="4441" spans="2:7" ht="11.25" outlineLevel="5" x14ac:dyDescent="0.2">
      <c r="B4441" s="14" t="s">
        <v>8413</v>
      </c>
      <c r="C4441" s="14" t="s">
        <v>8414</v>
      </c>
      <c r="D4441" s="14">
        <v>1</v>
      </c>
      <c r="E4441" s="15">
        <v>21.07</v>
      </c>
      <c r="F4441" s="16" t="s">
        <v>8</v>
      </c>
      <c r="G4441" s="38" t="str">
        <f>HYPERLINK("http://enext.ua/405-8P-L")</f>
        <v>http://enext.ua/405-8P-L</v>
      </c>
    </row>
    <row r="4442" spans="2:7" ht="11.25" outlineLevel="5" x14ac:dyDescent="0.2">
      <c r="B4442" s="14" t="s">
        <v>8415</v>
      </c>
      <c r="C4442" s="14" t="s">
        <v>8416</v>
      </c>
      <c r="D4442" s="14">
        <v>1</v>
      </c>
      <c r="E4442" s="15">
        <v>25.4</v>
      </c>
      <c r="F4442" s="16" t="s">
        <v>8</v>
      </c>
      <c r="G4442" s="38" t="str">
        <f>HYPERLINK("http://enext.ua/410-8P-L")</f>
        <v>http://enext.ua/410-8P-L</v>
      </c>
    </row>
    <row r="4443" spans="2:7" ht="11.25" outlineLevel="5" x14ac:dyDescent="0.2">
      <c r="B4443" s="14" t="s">
        <v>8417</v>
      </c>
      <c r="C4443" s="14" t="s">
        <v>8418</v>
      </c>
      <c r="D4443" s="14">
        <v>1</v>
      </c>
      <c r="E4443" s="15">
        <v>28.36</v>
      </c>
      <c r="F4443" s="16" t="s">
        <v>8</v>
      </c>
      <c r="G4443" s="38" t="str">
        <f>HYPERLINK("http://enext.ua/405-8P-M")</f>
        <v>http://enext.ua/405-8P-M</v>
      </c>
    </row>
    <row r="4444" spans="2:7" ht="11.25" outlineLevel="5" x14ac:dyDescent="0.2">
      <c r="B4444" s="14" t="s">
        <v>8419</v>
      </c>
      <c r="C4444" s="14" t="s">
        <v>8420</v>
      </c>
      <c r="D4444" s="14">
        <v>1</v>
      </c>
      <c r="E4444" s="15">
        <v>31.67</v>
      </c>
      <c r="F4444" s="16" t="s">
        <v>8</v>
      </c>
      <c r="G4444" s="38" t="str">
        <f>HYPERLINK("http://enext.ua/410-8P-M")</f>
        <v>http://enext.ua/410-8P-M</v>
      </c>
    </row>
    <row r="4445" spans="2:7" ht="11.25" outlineLevel="5" x14ac:dyDescent="0.2">
      <c r="B4445" s="14" t="s">
        <v>8421</v>
      </c>
      <c r="C4445" s="14" t="s">
        <v>8422</v>
      </c>
      <c r="D4445" s="14">
        <v>1</v>
      </c>
      <c r="E4445" s="15">
        <v>21.07</v>
      </c>
      <c r="F4445" s="16" t="s">
        <v>8</v>
      </c>
      <c r="G4445" s="38" t="str">
        <f>HYPERLINK("http://enext.ua/405-8P-R")</f>
        <v>http://enext.ua/405-8P-R</v>
      </c>
    </row>
    <row r="4446" spans="2:7" ht="11.25" outlineLevel="5" x14ac:dyDescent="0.2">
      <c r="B4446" s="14" t="s">
        <v>8423</v>
      </c>
      <c r="C4446" s="14" t="s">
        <v>8424</v>
      </c>
      <c r="D4446" s="14">
        <v>1</v>
      </c>
      <c r="E4446" s="15">
        <v>25.4</v>
      </c>
      <c r="F4446" s="16" t="s">
        <v>8</v>
      </c>
      <c r="G4446" s="38" t="str">
        <f>HYPERLINK("http://enext.ua/410-8P-R")</f>
        <v>http://enext.ua/410-8P-R</v>
      </c>
    </row>
    <row r="4447" spans="2:7" ht="11.25" outlineLevel="5" x14ac:dyDescent="0.2">
      <c r="B4447" s="14" t="s">
        <v>8425</v>
      </c>
      <c r="C4447" s="14" t="s">
        <v>8426</v>
      </c>
      <c r="D4447" s="14">
        <v>1</v>
      </c>
      <c r="E4447" s="15">
        <v>33.21</v>
      </c>
      <c r="F4447" s="16" t="s">
        <v>8</v>
      </c>
      <c r="G4447" s="38" t="str">
        <f>HYPERLINK("http://enext.ua/901-8A")</f>
        <v>http://enext.ua/901-8A</v>
      </c>
    </row>
    <row r="4448" spans="2:7" ht="11.25" outlineLevel="5" x14ac:dyDescent="0.2">
      <c r="B4448" s="14" t="s">
        <v>8427</v>
      </c>
      <c r="C4448" s="14" t="s">
        <v>8428</v>
      </c>
      <c r="D4448" s="14">
        <v>1</v>
      </c>
      <c r="E4448" s="15">
        <v>508.2</v>
      </c>
      <c r="F4448" s="16" t="s">
        <v>8</v>
      </c>
      <c r="G4448" s="38" t="str">
        <f>HYPERLINK("http://enext.ua/AG 10-8A")</f>
        <v>http://enext.ua/AG 10-8A</v>
      </c>
    </row>
    <row r="4449" spans="2:7" ht="11.25" outlineLevel="5" x14ac:dyDescent="0.2">
      <c r="B4449" s="14" t="s">
        <v>8429</v>
      </c>
      <c r="C4449" s="14" t="s">
        <v>8430</v>
      </c>
      <c r="D4449" s="14">
        <v>1</v>
      </c>
      <c r="E4449" s="15">
        <v>602.48</v>
      </c>
      <c r="F4449" s="16" t="s">
        <v>8</v>
      </c>
      <c r="G4449" s="38" t="str">
        <f>HYPERLINK("http://enext.ua/AG 16-8A")</f>
        <v>http://enext.ua/AG 16-8A</v>
      </c>
    </row>
    <row r="4450" spans="2:7" ht="11.25" outlineLevel="5" x14ac:dyDescent="0.2">
      <c r="B4450" s="14" t="s">
        <v>8431</v>
      </c>
      <c r="C4450" s="14" t="s">
        <v>8432</v>
      </c>
      <c r="D4450" s="14">
        <v>1</v>
      </c>
      <c r="E4450" s="15">
        <v>668.07</v>
      </c>
      <c r="F4450" s="16" t="s">
        <v>8</v>
      </c>
      <c r="G4450" s="38" t="str">
        <f>HYPERLINK("http://enext.ua/AG 20-8A")</f>
        <v>http://enext.ua/AG 20-8A</v>
      </c>
    </row>
    <row r="4451" spans="2:7" ht="11.25" outlineLevel="5" x14ac:dyDescent="0.2">
      <c r="B4451" s="14" t="s">
        <v>8433</v>
      </c>
      <c r="C4451" s="14" t="s">
        <v>8434</v>
      </c>
      <c r="D4451" s="14">
        <v>1</v>
      </c>
      <c r="E4451" s="15">
        <v>736.77</v>
      </c>
      <c r="F4451" s="16" t="s">
        <v>8</v>
      </c>
      <c r="G4451" s="38" t="str">
        <f>HYPERLINK("http://enext.ua/AG 30-8A")</f>
        <v>http://enext.ua/AG 30-8A</v>
      </c>
    </row>
    <row r="4452" spans="2:7" ht="11.25" outlineLevel="5" x14ac:dyDescent="0.2">
      <c r="B4452" s="14" t="s">
        <v>8435</v>
      </c>
      <c r="C4452" s="14" t="s">
        <v>8436</v>
      </c>
      <c r="D4452" s="14">
        <v>1</v>
      </c>
      <c r="E4452" s="15">
        <v>455.67</v>
      </c>
      <c r="F4452" s="16" t="s">
        <v>8</v>
      </c>
      <c r="G4452" s="38" t="str">
        <f>HYPERLINK("http://enext.ua/AGY 10-8A")</f>
        <v>http://enext.ua/AGY 10-8A</v>
      </c>
    </row>
    <row r="4453" spans="2:7" ht="11.25" outlineLevel="5" x14ac:dyDescent="0.2">
      <c r="B4453" s="14" t="s">
        <v>8437</v>
      </c>
      <c r="C4453" s="14" t="s">
        <v>8438</v>
      </c>
      <c r="D4453" s="14">
        <v>1</v>
      </c>
      <c r="E4453" s="15">
        <v>548.4</v>
      </c>
      <c r="F4453" s="16" t="s">
        <v>8</v>
      </c>
      <c r="G4453" s="38" t="str">
        <f>HYPERLINK("http://enext.ua/AGY 16-8A")</f>
        <v>http://enext.ua/AGY 16-8A</v>
      </c>
    </row>
    <row r="4454" spans="2:7" ht="11.25" outlineLevel="5" x14ac:dyDescent="0.2">
      <c r="B4454" s="14" t="s">
        <v>8439</v>
      </c>
      <c r="C4454" s="14" t="s">
        <v>8440</v>
      </c>
      <c r="D4454" s="14">
        <v>1</v>
      </c>
      <c r="E4454" s="15">
        <v>606.29999999999995</v>
      </c>
      <c r="F4454" s="16" t="s">
        <v>8</v>
      </c>
      <c r="G4454" s="38" t="str">
        <f>HYPERLINK("http://enext.ua/AGY 20-8A")</f>
        <v>http://enext.ua/AGY 20-8A</v>
      </c>
    </row>
    <row r="4455" spans="2:7" ht="11.25" outlineLevel="5" x14ac:dyDescent="0.2">
      <c r="B4455" s="14" t="s">
        <v>8441</v>
      </c>
      <c r="C4455" s="14" t="s">
        <v>8442</v>
      </c>
      <c r="D4455" s="14">
        <v>1</v>
      </c>
      <c r="E4455" s="15">
        <v>735.51</v>
      </c>
      <c r="F4455" s="16" t="s">
        <v>8</v>
      </c>
      <c r="G4455" s="38" t="str">
        <f>HYPERLINK("http://enext.ua/AGY 30-8A")</f>
        <v>http://enext.ua/AGY 30-8A</v>
      </c>
    </row>
    <row r="4456" spans="2:7" ht="11.25" outlineLevel="5" x14ac:dyDescent="0.2">
      <c r="B4456" s="14" t="s">
        <v>8443</v>
      </c>
      <c r="C4456" s="14" t="s">
        <v>8444</v>
      </c>
      <c r="D4456" s="14">
        <v>1</v>
      </c>
      <c r="E4456" s="15">
        <v>159.51</v>
      </c>
      <c r="F4456" s="16" t="s">
        <v>8</v>
      </c>
      <c r="G4456" s="38" t="str">
        <f>HYPERLINK("http://enext.ua/510-610-8A")</f>
        <v>http://enext.ua/510-610-8A</v>
      </c>
    </row>
    <row r="4457" spans="2:7" ht="11.25" outlineLevel="5" x14ac:dyDescent="0.2">
      <c r="B4457" s="14" t="s">
        <v>8445</v>
      </c>
      <c r="C4457" s="14" t="s">
        <v>8446</v>
      </c>
      <c r="D4457" s="14">
        <v>1</v>
      </c>
      <c r="E4457" s="15">
        <v>196.69</v>
      </c>
      <c r="F4457" s="16" t="s">
        <v>8</v>
      </c>
      <c r="G4457" s="38" t="str">
        <f>HYPERLINK("http://enext.ua/516-616-8A")</f>
        <v>http://enext.ua/516-616-8A</v>
      </c>
    </row>
    <row r="4458" spans="2:7" ht="11.25" outlineLevel="5" x14ac:dyDescent="0.2">
      <c r="B4458" s="14" t="s">
        <v>8447</v>
      </c>
      <c r="C4458" s="14" t="s">
        <v>8448</v>
      </c>
      <c r="D4458" s="14">
        <v>1</v>
      </c>
      <c r="E4458" s="15">
        <v>314.07</v>
      </c>
      <c r="F4458" s="16" t="s">
        <v>8</v>
      </c>
      <c r="G4458" s="38" t="str">
        <f>HYPERLINK("http://enext.ua/520-620-8A")</f>
        <v>http://enext.ua/520-620-8A</v>
      </c>
    </row>
    <row r="4459" spans="2:7" ht="11.25" outlineLevel="5" x14ac:dyDescent="0.2">
      <c r="B4459" s="14" t="s">
        <v>8449</v>
      </c>
      <c r="C4459" s="14" t="s">
        <v>8450</v>
      </c>
      <c r="D4459" s="14">
        <v>1</v>
      </c>
      <c r="E4459" s="15">
        <v>362.3</v>
      </c>
      <c r="F4459" s="16" t="s">
        <v>8</v>
      </c>
      <c r="G4459" s="38" t="str">
        <f>HYPERLINK("http://enext.ua/530-630-8A")</f>
        <v>http://enext.ua/530-630-8A</v>
      </c>
    </row>
    <row r="4460" spans="2:7" ht="11.25" outlineLevel="5" x14ac:dyDescent="0.2">
      <c r="B4460" s="14" t="s">
        <v>8451</v>
      </c>
      <c r="C4460" s="14" t="s">
        <v>8452</v>
      </c>
      <c r="D4460" s="14">
        <v>1</v>
      </c>
      <c r="E4460" s="15">
        <v>537.41999999999996</v>
      </c>
      <c r="F4460" s="16" t="s">
        <v>8</v>
      </c>
      <c r="G4460" s="38" t="str">
        <f>HYPERLINK("http://enext.ua/540-640-8A")</f>
        <v>http://enext.ua/540-640-8A</v>
      </c>
    </row>
    <row r="4461" spans="2:7" ht="12" outlineLevel="4" x14ac:dyDescent="0.2">
      <c r="B4461" s="12"/>
      <c r="C4461" s="37" t="s">
        <v>8453</v>
      </c>
      <c r="D4461" s="12"/>
      <c r="E4461" s="13"/>
      <c r="F4461" s="13"/>
      <c r="G4461" s="12"/>
    </row>
    <row r="4462" spans="2:7" ht="11.25" outlineLevel="5" x14ac:dyDescent="0.2">
      <c r="B4462" s="14" t="s">
        <v>8454</v>
      </c>
      <c r="C4462" s="14" t="s">
        <v>8455</v>
      </c>
      <c r="D4462" s="14">
        <v>1</v>
      </c>
      <c r="E4462" s="15">
        <v>60.54</v>
      </c>
      <c r="F4462" s="16" t="s">
        <v>8</v>
      </c>
      <c r="G4462" s="14"/>
    </row>
    <row r="4463" spans="2:7" ht="11.25" outlineLevel="5" x14ac:dyDescent="0.2">
      <c r="B4463" s="14" t="s">
        <v>8456</v>
      </c>
      <c r="C4463" s="14" t="s">
        <v>8457</v>
      </c>
      <c r="D4463" s="14">
        <v>1</v>
      </c>
      <c r="E4463" s="15">
        <v>201.62</v>
      </c>
      <c r="F4463" s="16" t="s">
        <v>8</v>
      </c>
      <c r="G4463" s="38" t="str">
        <f>HYPERLINK("http://enext.ua/120-10")</f>
        <v>http://enext.ua/120-10</v>
      </c>
    </row>
    <row r="4464" spans="2:7" ht="11.25" outlineLevel="5" x14ac:dyDescent="0.2">
      <c r="B4464" s="14" t="s">
        <v>8458</v>
      </c>
      <c r="C4464" s="14" t="s">
        <v>8459</v>
      </c>
      <c r="D4464" s="14">
        <v>1</v>
      </c>
      <c r="E4464" s="15">
        <v>314.33</v>
      </c>
      <c r="F4464" s="16" t="s">
        <v>8</v>
      </c>
      <c r="G4464" s="38" t="str">
        <f>HYPERLINK("http://enext.ua/130-10")</f>
        <v>http://enext.ua/130-10</v>
      </c>
    </row>
    <row r="4465" spans="2:7" ht="11.25" outlineLevel="5" x14ac:dyDescent="0.2">
      <c r="B4465" s="14" t="s">
        <v>8460</v>
      </c>
      <c r="C4465" s="14" t="s">
        <v>8461</v>
      </c>
      <c r="D4465" s="14">
        <v>1</v>
      </c>
      <c r="E4465" s="15">
        <v>198.75</v>
      </c>
      <c r="F4465" s="16" t="s">
        <v>8</v>
      </c>
      <c r="G4465" s="38" t="str">
        <f>HYPERLINK("http://enext.ua/210-10")</f>
        <v>http://enext.ua/210-10</v>
      </c>
    </row>
    <row r="4466" spans="2:7" ht="11.25" outlineLevel="5" x14ac:dyDescent="0.2">
      <c r="B4466" s="14" t="s">
        <v>8462</v>
      </c>
      <c r="C4466" s="14" t="s">
        <v>8463</v>
      </c>
      <c r="D4466" s="14">
        <v>1</v>
      </c>
      <c r="E4466" s="15">
        <v>367.82</v>
      </c>
      <c r="F4466" s="16" t="s">
        <v>8</v>
      </c>
      <c r="G4466" s="38" t="str">
        <f>HYPERLINK("http://enext.ua/230-10")</f>
        <v>http://enext.ua/230-10</v>
      </c>
    </row>
    <row r="4467" spans="2:7" ht="11.25" outlineLevel="5" x14ac:dyDescent="0.2">
      <c r="B4467" s="14" t="s">
        <v>8464</v>
      </c>
      <c r="C4467" s="14" t="s">
        <v>8465</v>
      </c>
      <c r="D4467" s="14">
        <v>1</v>
      </c>
      <c r="E4467" s="15">
        <v>525.94000000000005</v>
      </c>
      <c r="F4467" s="16" t="s">
        <v>8</v>
      </c>
      <c r="G4467" s="38" t="str">
        <f>HYPERLINK("http://enext.ua/240-10")</f>
        <v>http://enext.ua/240-10</v>
      </c>
    </row>
    <row r="4468" spans="2:7" ht="11.25" outlineLevel="5" x14ac:dyDescent="0.2">
      <c r="B4468" s="14" t="s">
        <v>8466</v>
      </c>
      <c r="C4468" s="14" t="s">
        <v>8467</v>
      </c>
      <c r="D4468" s="14">
        <v>1</v>
      </c>
      <c r="E4468" s="15">
        <v>128.71</v>
      </c>
      <c r="F4468" s="16" t="s">
        <v>8</v>
      </c>
      <c r="G4468" s="38" t="str">
        <f>HYPERLINK("http://enext.ua/220-10P")</f>
        <v>http://enext.ua/220-10P</v>
      </c>
    </row>
    <row r="4469" spans="2:7" ht="11.25" outlineLevel="5" x14ac:dyDescent="0.2">
      <c r="B4469" s="14" t="s">
        <v>8468</v>
      </c>
      <c r="C4469" s="14" t="s">
        <v>8469</v>
      </c>
      <c r="D4469" s="14">
        <v>1</v>
      </c>
      <c r="E4469" s="15">
        <v>150.72999999999999</v>
      </c>
      <c r="F4469" s="16" t="s">
        <v>8</v>
      </c>
      <c r="G4469" s="38" t="str">
        <f>HYPERLINK("http://enext.ua/230-10P")</f>
        <v>http://enext.ua/230-10P</v>
      </c>
    </row>
    <row r="4470" spans="2:7" ht="11.25" outlineLevel="5" x14ac:dyDescent="0.2">
      <c r="B4470" s="14" t="s">
        <v>8470</v>
      </c>
      <c r="C4470" s="14" t="s">
        <v>8471</v>
      </c>
      <c r="D4470" s="14">
        <v>1</v>
      </c>
      <c r="E4470" s="15">
        <v>174.24</v>
      </c>
      <c r="F4470" s="16" t="s">
        <v>8</v>
      </c>
      <c r="G4470" s="38" t="str">
        <f>HYPERLINK("http://enext.ua/240-10P")</f>
        <v>http://enext.ua/240-10P</v>
      </c>
    </row>
    <row r="4471" spans="2:7" ht="11.25" outlineLevel="5" x14ac:dyDescent="0.2">
      <c r="B4471" s="14" t="s">
        <v>8472</v>
      </c>
      <c r="C4471" s="14" t="s">
        <v>8473</v>
      </c>
      <c r="D4471" s="14">
        <v>1</v>
      </c>
      <c r="E4471" s="15">
        <v>288.04000000000002</v>
      </c>
      <c r="F4471" s="16" t="s">
        <v>8</v>
      </c>
      <c r="G4471" s="38" t="str">
        <f>HYPERLINK("http://enext.ua/310-10")</f>
        <v>http://enext.ua/310-10</v>
      </c>
    </row>
    <row r="4472" spans="2:7" ht="11.25" outlineLevel="5" x14ac:dyDescent="0.2">
      <c r="B4472" s="14" t="s">
        <v>8474</v>
      </c>
      <c r="C4472" s="14" t="s">
        <v>8475</v>
      </c>
      <c r="D4472" s="14">
        <v>1</v>
      </c>
      <c r="E4472" s="15">
        <v>360.72</v>
      </c>
      <c r="F4472" s="16" t="s">
        <v>8</v>
      </c>
      <c r="G4472" s="38" t="str">
        <f>HYPERLINK("http://enext.ua/320-10")</f>
        <v>http://enext.ua/320-10</v>
      </c>
    </row>
    <row r="4473" spans="2:7" ht="11.25" outlineLevel="5" x14ac:dyDescent="0.2">
      <c r="B4473" s="14" t="s">
        <v>8476</v>
      </c>
      <c r="C4473" s="14" t="s">
        <v>8477</v>
      </c>
      <c r="D4473" s="14">
        <v>1</v>
      </c>
      <c r="E4473" s="15">
        <v>496.63</v>
      </c>
      <c r="F4473" s="16" t="s">
        <v>8</v>
      </c>
      <c r="G4473" s="38" t="str">
        <f>HYPERLINK("http://enext.ua/330-10")</f>
        <v>http://enext.ua/330-10</v>
      </c>
    </row>
    <row r="4474" spans="2:7" ht="11.25" outlineLevel="5" x14ac:dyDescent="0.2">
      <c r="B4474" s="14" t="s">
        <v>8478</v>
      </c>
      <c r="C4474" s="14" t="s">
        <v>8479</v>
      </c>
      <c r="D4474" s="14">
        <v>1</v>
      </c>
      <c r="E4474" s="15">
        <v>602.48</v>
      </c>
      <c r="F4474" s="16" t="s">
        <v>8</v>
      </c>
      <c r="G4474" s="38" t="str">
        <f>HYPERLINK("http://enext.ua/340-10")</f>
        <v>http://enext.ua/340-10</v>
      </c>
    </row>
    <row r="4475" spans="2:7" ht="11.25" outlineLevel="5" x14ac:dyDescent="0.2">
      <c r="B4475" s="14" t="s">
        <v>8480</v>
      </c>
      <c r="C4475" s="14" t="s">
        <v>8481</v>
      </c>
      <c r="D4475" s="14">
        <v>1</v>
      </c>
      <c r="E4475" s="15">
        <v>18.420000000000002</v>
      </c>
      <c r="F4475" s="16" t="s">
        <v>8</v>
      </c>
      <c r="G4475" s="38" t="str">
        <f>HYPERLINK("http://enext.ua/410-10P-L")</f>
        <v>http://enext.ua/410-10P-L</v>
      </c>
    </row>
    <row r="4476" spans="2:7" ht="11.25" outlineLevel="5" x14ac:dyDescent="0.2">
      <c r="B4476" s="14" t="s">
        <v>8482</v>
      </c>
      <c r="C4476" s="14" t="s">
        <v>8483</v>
      </c>
      <c r="D4476" s="14">
        <v>1</v>
      </c>
      <c r="E4476" s="15">
        <v>37.5</v>
      </c>
      <c r="F4476" s="16" t="s">
        <v>8</v>
      </c>
      <c r="G4476" s="38" t="str">
        <f>HYPERLINK("http://enext.ua/410-10P-M")</f>
        <v>http://enext.ua/410-10P-M</v>
      </c>
    </row>
    <row r="4477" spans="2:7" ht="11.25" outlineLevel="5" x14ac:dyDescent="0.2">
      <c r="B4477" s="14" t="s">
        <v>8484</v>
      </c>
      <c r="C4477" s="14" t="s">
        <v>8485</v>
      </c>
      <c r="D4477" s="14">
        <v>1</v>
      </c>
      <c r="E4477" s="15">
        <v>18.420000000000002</v>
      </c>
      <c r="F4477" s="16" t="s">
        <v>8</v>
      </c>
      <c r="G4477" s="38" t="str">
        <f>HYPERLINK("http://enext.ua/410-10P-R")</f>
        <v>http://enext.ua/410-10P-R</v>
      </c>
    </row>
    <row r="4478" spans="2:7" ht="11.25" outlineLevel="5" x14ac:dyDescent="0.2">
      <c r="B4478" s="14" t="s">
        <v>8486</v>
      </c>
      <c r="C4478" s="14" t="s">
        <v>8487</v>
      </c>
      <c r="D4478" s="14">
        <v>1</v>
      </c>
      <c r="E4478" s="15">
        <v>40.549999999999997</v>
      </c>
      <c r="F4478" s="16" t="s">
        <v>8</v>
      </c>
      <c r="G4478" s="38" t="str">
        <f>HYPERLINK("http://enext.ua/410-10AP-R")</f>
        <v>http://enext.ua/410-10AP-R</v>
      </c>
    </row>
    <row r="4479" spans="2:7" ht="11.25" outlineLevel="5" x14ac:dyDescent="0.2">
      <c r="B4479" s="14" t="s">
        <v>8488</v>
      </c>
      <c r="C4479" s="14" t="s">
        <v>8489</v>
      </c>
      <c r="D4479" s="14">
        <v>1</v>
      </c>
      <c r="E4479" s="15">
        <v>38.57</v>
      </c>
      <c r="F4479" s="16" t="s">
        <v>8</v>
      </c>
      <c r="G4479" s="38" t="str">
        <f>HYPERLINK("http://enext.ua/901-10A")</f>
        <v>http://enext.ua/901-10A</v>
      </c>
    </row>
    <row r="4480" spans="2:7" ht="11.25" outlineLevel="5" x14ac:dyDescent="0.2">
      <c r="B4480" s="14" t="s">
        <v>8490</v>
      </c>
      <c r="C4480" s="14" t="s">
        <v>8491</v>
      </c>
      <c r="D4480" s="14">
        <v>1</v>
      </c>
      <c r="E4480" s="15">
        <v>136.4</v>
      </c>
      <c r="F4480" s="16" t="s">
        <v>8</v>
      </c>
      <c r="G4480" s="38" t="str">
        <f>HYPERLINK("http://enext.ua/901-10A2")</f>
        <v>http://enext.ua/901-10A2</v>
      </c>
    </row>
    <row r="4481" spans="2:7" ht="11.25" outlineLevel="5" x14ac:dyDescent="0.2">
      <c r="B4481" s="14" t="s">
        <v>8492</v>
      </c>
      <c r="C4481" s="14" t="s">
        <v>8493</v>
      </c>
      <c r="D4481" s="14">
        <v>1</v>
      </c>
      <c r="E4481" s="15">
        <v>831.97</v>
      </c>
      <c r="F4481" s="16" t="s">
        <v>8</v>
      </c>
      <c r="G4481" s="38" t="str">
        <f>HYPERLINK("http://enext.ua/AG20-10A")</f>
        <v>http://enext.ua/AG20-10A</v>
      </c>
    </row>
    <row r="4482" spans="2:7" ht="11.25" outlineLevel="5" x14ac:dyDescent="0.2">
      <c r="B4482" s="14" t="s">
        <v>8494</v>
      </c>
      <c r="C4482" s="14" t="s">
        <v>8495</v>
      </c>
      <c r="D4482" s="14">
        <v>1</v>
      </c>
      <c r="E4482" s="17">
        <v>1033.5</v>
      </c>
      <c r="F4482" s="16" t="s">
        <v>8</v>
      </c>
      <c r="G4482" s="38" t="str">
        <f>HYPERLINK("http://enext.ua/AG30-10A")</f>
        <v>http://enext.ua/AG30-10A</v>
      </c>
    </row>
    <row r="4483" spans="2:7" ht="11.25" outlineLevel="5" x14ac:dyDescent="0.2">
      <c r="B4483" s="14" t="s">
        <v>8496</v>
      </c>
      <c r="C4483" s="14" t="s">
        <v>8497</v>
      </c>
      <c r="D4483" s="14">
        <v>1</v>
      </c>
      <c r="E4483" s="17">
        <v>1166.6600000000001</v>
      </c>
      <c r="F4483" s="16" t="s">
        <v>8</v>
      </c>
      <c r="G4483" s="38" t="str">
        <f>HYPERLINK("http://enext.ua/AG40-10A")</f>
        <v>http://enext.ua/AG40-10A</v>
      </c>
    </row>
    <row r="4484" spans="2:7" ht="11.25" outlineLevel="5" x14ac:dyDescent="0.2">
      <c r="B4484" s="14" t="s">
        <v>8498</v>
      </c>
      <c r="C4484" s="14" t="s">
        <v>8499</v>
      </c>
      <c r="D4484" s="14">
        <v>1</v>
      </c>
      <c r="E4484" s="15">
        <v>525.04999999999995</v>
      </c>
      <c r="F4484" s="16" t="s">
        <v>8</v>
      </c>
      <c r="G4484" s="38" t="str">
        <f>HYPERLINK("http://enext.ua/AGY10-10A")</f>
        <v>http://enext.ua/AGY10-10A</v>
      </c>
    </row>
    <row r="4485" spans="2:7" ht="11.25" outlineLevel="5" x14ac:dyDescent="0.2">
      <c r="B4485" s="14" t="s">
        <v>8500</v>
      </c>
      <c r="C4485" s="14" t="s">
        <v>8501</v>
      </c>
      <c r="D4485" s="14">
        <v>1</v>
      </c>
      <c r="E4485" s="15">
        <v>870.24</v>
      </c>
      <c r="F4485" s="16" t="s">
        <v>8</v>
      </c>
      <c r="G4485" s="38" t="str">
        <f>HYPERLINK("http://enext.ua/AGY30-10A")</f>
        <v>http://enext.ua/AGY30-10A</v>
      </c>
    </row>
    <row r="4486" spans="2:7" ht="11.25" outlineLevel="5" x14ac:dyDescent="0.2">
      <c r="B4486" s="14" t="s">
        <v>8502</v>
      </c>
      <c r="C4486" s="14" t="s">
        <v>8503</v>
      </c>
      <c r="D4486" s="14">
        <v>1</v>
      </c>
      <c r="E4486" s="17">
        <v>1087.05</v>
      </c>
      <c r="F4486" s="16" t="s">
        <v>8</v>
      </c>
      <c r="G4486" s="38" t="str">
        <f>HYPERLINK("http://enext.ua/AGY40-10A")</f>
        <v>http://enext.ua/AGY40-10A</v>
      </c>
    </row>
    <row r="4487" spans="2:7" ht="11.25" outlineLevel="5" x14ac:dyDescent="0.2">
      <c r="B4487" s="14" t="s">
        <v>8504</v>
      </c>
      <c r="C4487" s="14" t="s">
        <v>8505</v>
      </c>
      <c r="D4487" s="14">
        <v>1</v>
      </c>
      <c r="E4487" s="15">
        <v>251.9</v>
      </c>
      <c r="F4487" s="16" t="s">
        <v>8</v>
      </c>
      <c r="G4487" s="38" t="str">
        <f>HYPERLINK("http://enext.ua/510-610-10A")</f>
        <v>http://enext.ua/510-610-10A</v>
      </c>
    </row>
    <row r="4488" spans="2:7" ht="11.25" outlineLevel="5" x14ac:dyDescent="0.2">
      <c r="B4488" s="14" t="s">
        <v>8506</v>
      </c>
      <c r="C4488" s="14" t="s">
        <v>8507</v>
      </c>
      <c r="D4488" s="14">
        <v>1</v>
      </c>
      <c r="E4488" s="15">
        <v>328.35</v>
      </c>
      <c r="F4488" s="16" t="s">
        <v>8</v>
      </c>
      <c r="G4488" s="38" t="str">
        <f>HYPERLINK("http://enext.ua/520-620-10A")</f>
        <v>http://enext.ua/520-620-10A</v>
      </c>
    </row>
    <row r="4489" spans="2:7" ht="11.25" outlineLevel="5" x14ac:dyDescent="0.2">
      <c r="B4489" s="14" t="s">
        <v>8508</v>
      </c>
      <c r="C4489" s="14" t="s">
        <v>8509</v>
      </c>
      <c r="D4489" s="14">
        <v>1</v>
      </c>
      <c r="E4489" s="15">
        <v>381.11</v>
      </c>
      <c r="F4489" s="16" t="s">
        <v>8</v>
      </c>
      <c r="G4489" s="38" t="str">
        <f>HYPERLINK("http://enext.ua/530-630-10A")</f>
        <v>http://enext.ua/530-630-10A</v>
      </c>
    </row>
    <row r="4490" spans="2:7" ht="11.25" outlineLevel="5" x14ac:dyDescent="0.2">
      <c r="B4490" s="14" t="s">
        <v>8510</v>
      </c>
      <c r="C4490" s="14" t="s">
        <v>8511</v>
      </c>
      <c r="D4490" s="14">
        <v>1</v>
      </c>
      <c r="E4490" s="15">
        <v>414.7</v>
      </c>
      <c r="F4490" s="16" t="s">
        <v>8</v>
      </c>
      <c r="G4490" s="38" t="str">
        <f>HYPERLINK("http://enext.ua/540-640-10A")</f>
        <v>http://enext.ua/540-640-10A</v>
      </c>
    </row>
    <row r="4491" spans="2:7" ht="12" outlineLevel="4" x14ac:dyDescent="0.2">
      <c r="B4491" s="12"/>
      <c r="C4491" s="37" t="s">
        <v>8512</v>
      </c>
      <c r="D4491" s="12"/>
      <c r="E4491" s="13"/>
      <c r="F4491" s="13"/>
      <c r="G4491" s="12"/>
    </row>
    <row r="4492" spans="2:7" ht="11.25" outlineLevel="5" x14ac:dyDescent="0.2">
      <c r="B4492" s="14" t="s">
        <v>8513</v>
      </c>
      <c r="C4492" s="14" t="s">
        <v>8514</v>
      </c>
      <c r="D4492" s="14">
        <v>1</v>
      </c>
      <c r="E4492" s="15">
        <v>169.48</v>
      </c>
      <c r="F4492" s="16" t="s">
        <v>4214</v>
      </c>
      <c r="G4492" s="38" t="str">
        <f>HYPERLINK("http://enext.ua/A40-K-10")</f>
        <v>http://enext.ua/A40-K-10</v>
      </c>
    </row>
    <row r="4493" spans="2:7" ht="11.25" outlineLevel="5" x14ac:dyDescent="0.2">
      <c r="B4493" s="14" t="s">
        <v>8515</v>
      </c>
      <c r="C4493" s="14" t="s">
        <v>8516</v>
      </c>
      <c r="D4493" s="14">
        <v>1</v>
      </c>
      <c r="E4493" s="15">
        <v>32.450000000000003</v>
      </c>
      <c r="F4493" s="16" t="s">
        <v>8</v>
      </c>
      <c r="G4493" s="38" t="str">
        <f>HYPERLINK("http://enext.ua/105-K")</f>
        <v>http://enext.ua/105-K</v>
      </c>
    </row>
    <row r="4494" spans="2:7" ht="11.25" outlineLevel="5" x14ac:dyDescent="0.2">
      <c r="B4494" s="14" t="s">
        <v>8517</v>
      </c>
      <c r="C4494" s="14" t="s">
        <v>8518</v>
      </c>
      <c r="D4494" s="14">
        <v>1</v>
      </c>
      <c r="E4494" s="15">
        <v>53.28</v>
      </c>
      <c r="F4494" s="16" t="s">
        <v>8</v>
      </c>
      <c r="G4494" s="38" t="str">
        <f>HYPERLINK("http://enext.ua/110-K")</f>
        <v>http://enext.ua/110-K</v>
      </c>
    </row>
    <row r="4495" spans="2:7" ht="11.25" outlineLevel="5" x14ac:dyDescent="0.2">
      <c r="B4495" s="14" t="s">
        <v>8519</v>
      </c>
      <c r="C4495" s="14" t="s">
        <v>8520</v>
      </c>
      <c r="D4495" s="14">
        <v>1</v>
      </c>
      <c r="E4495" s="15">
        <v>70.5</v>
      </c>
      <c r="F4495" s="16" t="s">
        <v>8</v>
      </c>
      <c r="G4495" s="38" t="str">
        <f>HYPERLINK("http://enext.ua/116-K")</f>
        <v>http://enext.ua/116-K</v>
      </c>
    </row>
    <row r="4496" spans="2:7" ht="11.25" outlineLevel="5" x14ac:dyDescent="0.2">
      <c r="B4496" s="14" t="s">
        <v>8521</v>
      </c>
      <c r="C4496" s="14" t="s">
        <v>8522</v>
      </c>
      <c r="D4496" s="14">
        <v>1</v>
      </c>
      <c r="E4496" s="15">
        <v>204.46</v>
      </c>
      <c r="F4496" s="16" t="s">
        <v>8</v>
      </c>
      <c r="G4496" s="38" t="str">
        <f>HYPERLINK("http://enext.ua/140-K")</f>
        <v>http://enext.ua/140-K</v>
      </c>
    </row>
    <row r="4497" spans="2:7" ht="11.25" outlineLevel="5" x14ac:dyDescent="0.2">
      <c r="B4497" s="14" t="s">
        <v>8523</v>
      </c>
      <c r="C4497" s="14" t="s">
        <v>8524</v>
      </c>
      <c r="D4497" s="14">
        <v>1</v>
      </c>
      <c r="E4497" s="15">
        <v>39.049999999999997</v>
      </c>
      <c r="F4497" s="16" t="s">
        <v>8</v>
      </c>
      <c r="G4497" s="38" t="str">
        <f>HYPERLINK("http://enext.ua/205-K")</f>
        <v>http://enext.ua/205-K</v>
      </c>
    </row>
    <row r="4498" spans="2:7" ht="11.25" outlineLevel="5" x14ac:dyDescent="0.2">
      <c r="B4498" s="14" t="s">
        <v>8525</v>
      </c>
      <c r="C4498" s="14" t="s">
        <v>8526</v>
      </c>
      <c r="D4498" s="14">
        <v>1</v>
      </c>
      <c r="E4498" s="15">
        <v>64.22</v>
      </c>
      <c r="F4498" s="16" t="s">
        <v>8</v>
      </c>
      <c r="G4498" s="38" t="str">
        <f>HYPERLINK("http://enext.ua/210-K")</f>
        <v>http://enext.ua/210-K</v>
      </c>
    </row>
    <row r="4499" spans="2:7" ht="11.25" outlineLevel="5" x14ac:dyDescent="0.2">
      <c r="B4499" s="14" t="s">
        <v>8527</v>
      </c>
      <c r="C4499" s="14" t="s">
        <v>8528</v>
      </c>
      <c r="D4499" s="14">
        <v>1</v>
      </c>
      <c r="E4499" s="15">
        <v>102.01</v>
      </c>
      <c r="F4499" s="16" t="s">
        <v>8</v>
      </c>
      <c r="G4499" s="38" t="str">
        <f>HYPERLINK("http://enext.ua/220-K")</f>
        <v>http://enext.ua/220-K</v>
      </c>
    </row>
    <row r="4500" spans="2:7" ht="11.25" outlineLevel="5" x14ac:dyDescent="0.2">
      <c r="B4500" s="14" t="s">
        <v>8529</v>
      </c>
      <c r="C4500" s="14" t="s">
        <v>8530</v>
      </c>
      <c r="D4500" s="14">
        <v>1</v>
      </c>
      <c r="E4500" s="15">
        <v>160.22999999999999</v>
      </c>
      <c r="F4500" s="16" t="s">
        <v>8</v>
      </c>
      <c r="G4500" s="38" t="str">
        <f>HYPERLINK("http://enext.ua/230-K")</f>
        <v>http://enext.ua/230-K</v>
      </c>
    </row>
    <row r="4501" spans="2:7" ht="11.25" outlineLevel="5" x14ac:dyDescent="0.2">
      <c r="B4501" s="14" t="s">
        <v>8531</v>
      </c>
      <c r="C4501" s="14" t="s">
        <v>8532</v>
      </c>
      <c r="D4501" s="14">
        <v>1</v>
      </c>
      <c r="E4501" s="15">
        <v>227.62</v>
      </c>
      <c r="F4501" s="16" t="s">
        <v>8</v>
      </c>
      <c r="G4501" s="38" t="str">
        <f>HYPERLINK("http://enext.ua/240-K")</f>
        <v>http://enext.ua/240-K</v>
      </c>
    </row>
    <row r="4502" spans="2:7" ht="11.25" outlineLevel="5" x14ac:dyDescent="0.2">
      <c r="B4502" s="14" t="s">
        <v>8533</v>
      </c>
      <c r="C4502" s="14" t="s">
        <v>8534</v>
      </c>
      <c r="D4502" s="14">
        <v>1</v>
      </c>
      <c r="E4502" s="15">
        <v>17.579999999999998</v>
      </c>
      <c r="F4502" s="16" t="s">
        <v>8</v>
      </c>
      <c r="G4502" s="38" t="str">
        <f>HYPERLINK("http://enext.ua/205-KP")</f>
        <v>http://enext.ua/205-KP</v>
      </c>
    </row>
    <row r="4503" spans="2:7" ht="11.25" outlineLevel="5" x14ac:dyDescent="0.2">
      <c r="B4503" s="14" t="s">
        <v>8535</v>
      </c>
      <c r="C4503" s="14" t="s">
        <v>8536</v>
      </c>
      <c r="D4503" s="14">
        <v>1</v>
      </c>
      <c r="E4503" s="15">
        <v>24.05</v>
      </c>
      <c r="F4503" s="16" t="s">
        <v>8</v>
      </c>
      <c r="G4503" s="38" t="str">
        <f>HYPERLINK("http://enext.ua/210-KP")</f>
        <v>http://enext.ua/210-KP</v>
      </c>
    </row>
    <row r="4504" spans="2:7" ht="11.25" outlineLevel="5" x14ac:dyDescent="0.2">
      <c r="B4504" s="14" t="s">
        <v>8537</v>
      </c>
      <c r="C4504" s="14" t="s">
        <v>8538</v>
      </c>
      <c r="D4504" s="14">
        <v>1</v>
      </c>
      <c r="E4504" s="15">
        <v>31.71</v>
      </c>
      <c r="F4504" s="16" t="s">
        <v>8</v>
      </c>
      <c r="G4504" s="38" t="str">
        <f>HYPERLINK("http://enext.ua/216-KP")</f>
        <v>http://enext.ua/216-KP</v>
      </c>
    </row>
    <row r="4505" spans="2:7" ht="11.25" outlineLevel="5" x14ac:dyDescent="0.2">
      <c r="B4505" s="14" t="s">
        <v>8539</v>
      </c>
      <c r="C4505" s="14" t="s">
        <v>8540</v>
      </c>
      <c r="D4505" s="14">
        <v>1</v>
      </c>
      <c r="E4505" s="15">
        <v>36.799999999999997</v>
      </c>
      <c r="F4505" s="16" t="s">
        <v>8</v>
      </c>
      <c r="G4505" s="38" t="str">
        <f>HYPERLINK("http://enext.ua/220-KP")</f>
        <v>http://enext.ua/220-KP</v>
      </c>
    </row>
    <row r="4506" spans="2:7" ht="11.25" outlineLevel="5" x14ac:dyDescent="0.2">
      <c r="B4506" s="14" t="s">
        <v>8541</v>
      </c>
      <c r="C4506" s="14" t="s">
        <v>8542</v>
      </c>
      <c r="D4506" s="14">
        <v>1</v>
      </c>
      <c r="E4506" s="15">
        <v>51.15</v>
      </c>
      <c r="F4506" s="16" t="s">
        <v>8</v>
      </c>
      <c r="G4506" s="38" t="str">
        <f>HYPERLINK("http://enext.ua/230-KP")</f>
        <v>http://enext.ua/230-KP</v>
      </c>
    </row>
    <row r="4507" spans="2:7" ht="11.25" outlineLevel="5" x14ac:dyDescent="0.2">
      <c r="B4507" s="14" t="s">
        <v>8543</v>
      </c>
      <c r="C4507" s="14" t="s">
        <v>8544</v>
      </c>
      <c r="D4507" s="14">
        <v>1</v>
      </c>
      <c r="E4507" s="15">
        <v>62.02</v>
      </c>
      <c r="F4507" s="16" t="s">
        <v>8</v>
      </c>
      <c r="G4507" s="38" t="str">
        <f>HYPERLINK("http://enext.ua/240-KP")</f>
        <v>http://enext.ua/240-KP</v>
      </c>
    </row>
    <row r="4508" spans="2:7" ht="11.25" outlineLevel="5" x14ac:dyDescent="0.2">
      <c r="B4508" s="14" t="s">
        <v>8545</v>
      </c>
      <c r="C4508" s="14" t="s">
        <v>8546</v>
      </c>
      <c r="D4508" s="14">
        <v>1</v>
      </c>
      <c r="E4508" s="15">
        <v>46.07</v>
      </c>
      <c r="F4508" s="16" t="s">
        <v>8</v>
      </c>
      <c r="G4508" s="38" t="str">
        <f>HYPERLINK("http://enext.ua/305-K")</f>
        <v>http://enext.ua/305-K</v>
      </c>
    </row>
    <row r="4509" spans="2:7" ht="11.25" outlineLevel="5" x14ac:dyDescent="0.2">
      <c r="B4509" s="14" t="s">
        <v>8547</v>
      </c>
      <c r="C4509" s="14" t="s">
        <v>8548</v>
      </c>
      <c r="D4509" s="14">
        <v>1</v>
      </c>
      <c r="E4509" s="15">
        <v>67.900000000000006</v>
      </c>
      <c r="F4509" s="16" t="s">
        <v>8</v>
      </c>
      <c r="G4509" s="38" t="str">
        <f>HYPERLINK("http://enext.ua/310-K")</f>
        <v>http://enext.ua/310-K</v>
      </c>
    </row>
    <row r="4510" spans="2:7" ht="11.25" outlineLevel="5" x14ac:dyDescent="0.2">
      <c r="B4510" s="14" t="s">
        <v>8549</v>
      </c>
      <c r="C4510" s="14" t="s">
        <v>8550</v>
      </c>
      <c r="D4510" s="14">
        <v>1</v>
      </c>
      <c r="E4510" s="15">
        <v>89.68</v>
      </c>
      <c r="F4510" s="16" t="s">
        <v>8</v>
      </c>
      <c r="G4510" s="38" t="str">
        <f>HYPERLINK("http://enext.ua/316-K")</f>
        <v>http://enext.ua/316-K</v>
      </c>
    </row>
    <row r="4511" spans="2:7" ht="11.25" outlineLevel="5" x14ac:dyDescent="0.2">
      <c r="B4511" s="14" t="s">
        <v>8551</v>
      </c>
      <c r="C4511" s="14" t="s">
        <v>8552</v>
      </c>
      <c r="D4511" s="14">
        <v>1</v>
      </c>
      <c r="E4511" s="15">
        <v>111.68</v>
      </c>
      <c r="F4511" s="16" t="s">
        <v>8</v>
      </c>
      <c r="G4511" s="38" t="str">
        <f>HYPERLINK("http://enext.ua/320-K")</f>
        <v>http://enext.ua/320-K</v>
      </c>
    </row>
    <row r="4512" spans="2:7" ht="11.25" outlineLevel="5" x14ac:dyDescent="0.2">
      <c r="B4512" s="14" t="s">
        <v>8553</v>
      </c>
      <c r="C4512" s="14" t="s">
        <v>8554</v>
      </c>
      <c r="D4512" s="14">
        <v>1</v>
      </c>
      <c r="E4512" s="15">
        <v>176.26</v>
      </c>
      <c r="F4512" s="16" t="s">
        <v>8</v>
      </c>
      <c r="G4512" s="38" t="str">
        <f>HYPERLINK("http://enext.ua/330-K")</f>
        <v>http://enext.ua/330-K</v>
      </c>
    </row>
    <row r="4513" spans="2:7" ht="11.25" outlineLevel="5" x14ac:dyDescent="0.2">
      <c r="B4513" s="14" t="s">
        <v>8555</v>
      </c>
      <c r="C4513" s="14" t="s">
        <v>8556</v>
      </c>
      <c r="D4513" s="14">
        <v>1</v>
      </c>
      <c r="E4513" s="15">
        <v>252.74</v>
      </c>
      <c r="F4513" s="16" t="s">
        <v>8</v>
      </c>
      <c r="G4513" s="38" t="str">
        <f>HYPERLINK("http://enext.ua/340-K")</f>
        <v>http://enext.ua/340-K</v>
      </c>
    </row>
    <row r="4514" spans="2:7" ht="11.25" outlineLevel="5" x14ac:dyDescent="0.2">
      <c r="B4514" s="14" t="s">
        <v>8557</v>
      </c>
      <c r="C4514" s="14" t="s">
        <v>8558</v>
      </c>
      <c r="D4514" s="14">
        <v>1</v>
      </c>
      <c r="E4514" s="15">
        <v>98.78</v>
      </c>
      <c r="F4514" s="16" t="s">
        <v>8</v>
      </c>
      <c r="G4514" s="14"/>
    </row>
    <row r="4515" spans="2:7" ht="11.25" outlineLevel="5" x14ac:dyDescent="0.2">
      <c r="B4515" s="14" t="s">
        <v>8559</v>
      </c>
      <c r="C4515" s="14" t="s">
        <v>8560</v>
      </c>
      <c r="D4515" s="14">
        <v>1</v>
      </c>
      <c r="E4515" s="15">
        <v>110.47</v>
      </c>
      <c r="F4515" s="16" t="s">
        <v>8</v>
      </c>
      <c r="G4515" s="14"/>
    </row>
    <row r="4516" spans="2:7" ht="11.25" outlineLevel="5" x14ac:dyDescent="0.2">
      <c r="B4516" s="14" t="s">
        <v>8561</v>
      </c>
      <c r="C4516" s="14" t="s">
        <v>8562</v>
      </c>
      <c r="D4516" s="14">
        <v>1</v>
      </c>
      <c r="E4516" s="15">
        <v>141.22</v>
      </c>
      <c r="F4516" s="16" t="s">
        <v>8</v>
      </c>
      <c r="G4516" s="14"/>
    </row>
    <row r="4517" spans="2:7" ht="11.25" outlineLevel="5" x14ac:dyDescent="0.2">
      <c r="B4517" s="14" t="s">
        <v>8563</v>
      </c>
      <c r="C4517" s="14" t="s">
        <v>8564</v>
      </c>
      <c r="D4517" s="14">
        <v>1</v>
      </c>
      <c r="E4517" s="15">
        <v>171.87</v>
      </c>
      <c r="F4517" s="16" t="s">
        <v>8</v>
      </c>
      <c r="G4517" s="14"/>
    </row>
    <row r="4518" spans="2:7" ht="11.25" outlineLevel="5" x14ac:dyDescent="0.2">
      <c r="B4518" s="14" t="s">
        <v>8565</v>
      </c>
      <c r="C4518" s="14" t="s">
        <v>8566</v>
      </c>
      <c r="D4518" s="14">
        <v>1</v>
      </c>
      <c r="E4518" s="15">
        <v>4.47</v>
      </c>
      <c r="F4518" s="16" t="s">
        <v>8</v>
      </c>
      <c r="G4518" s="38" t="str">
        <f>HYPERLINK("http://enext.ua/AKT-1-4")</f>
        <v>http://enext.ua/AKT-1-4</v>
      </c>
    </row>
    <row r="4519" spans="2:7" ht="11.25" outlineLevel="5" x14ac:dyDescent="0.2">
      <c r="B4519" s="14" t="s">
        <v>8567</v>
      </c>
      <c r="C4519" s="14" t="s">
        <v>8568</v>
      </c>
      <c r="D4519" s="14">
        <v>1</v>
      </c>
      <c r="E4519" s="15">
        <v>6.89</v>
      </c>
      <c r="F4519" s="16" t="s">
        <v>8</v>
      </c>
      <c r="G4519" s="38" t="str">
        <f>HYPERLINK("http://enext.ua/AKT-1-8")</f>
        <v>http://enext.ua/AKT-1-8</v>
      </c>
    </row>
    <row r="4520" spans="2:7" ht="11.25" outlineLevel="5" x14ac:dyDescent="0.2">
      <c r="B4520" s="14" t="s">
        <v>8569</v>
      </c>
      <c r="C4520" s="14" t="s">
        <v>8570</v>
      </c>
      <c r="D4520" s="14">
        <v>1</v>
      </c>
      <c r="E4520" s="15">
        <v>9.6999999999999993</v>
      </c>
      <c r="F4520" s="16" t="s">
        <v>8</v>
      </c>
      <c r="G4520" s="38" t="str">
        <f>HYPERLINK("http://enext.ua/AKT-1-10")</f>
        <v>http://enext.ua/AKT-1-10</v>
      </c>
    </row>
    <row r="4521" spans="2:7" ht="12" outlineLevel="3" x14ac:dyDescent="0.2">
      <c r="B4521" s="10"/>
      <c r="C4521" s="36" t="s">
        <v>8571</v>
      </c>
      <c r="D4521" s="10"/>
      <c r="E4521" s="11"/>
      <c r="F4521" s="11"/>
      <c r="G4521" s="10"/>
    </row>
    <row r="4522" spans="2:7" ht="12" outlineLevel="4" x14ac:dyDescent="0.2">
      <c r="B4522" s="12"/>
      <c r="C4522" s="37" t="s">
        <v>8572</v>
      </c>
      <c r="D4522" s="12"/>
      <c r="E4522" s="13"/>
      <c r="F4522" s="13"/>
      <c r="G4522" s="12"/>
    </row>
    <row r="4523" spans="2:7" ht="11.25" outlineLevel="5" x14ac:dyDescent="0.2">
      <c r="B4523" s="14" t="s">
        <v>8573</v>
      </c>
      <c r="C4523" s="14" t="s">
        <v>8574</v>
      </c>
      <c r="D4523" s="14">
        <v>1</v>
      </c>
      <c r="E4523" s="15">
        <v>6.77</v>
      </c>
      <c r="F4523" s="16" t="s">
        <v>8</v>
      </c>
      <c r="G4523" s="38" t="str">
        <f>HYPERLINK("http://enext.ua/A1-41-1")</f>
        <v>http://enext.ua/A1-41-1</v>
      </c>
    </row>
    <row r="4524" spans="2:7" ht="11.25" outlineLevel="5" x14ac:dyDescent="0.2">
      <c r="B4524" s="14" t="s">
        <v>8575</v>
      </c>
      <c r="C4524" s="14" t="s">
        <v>8576</v>
      </c>
      <c r="D4524" s="14">
        <v>1</v>
      </c>
      <c r="E4524" s="15">
        <v>8.08</v>
      </c>
      <c r="F4524" s="16" t="s">
        <v>8</v>
      </c>
      <c r="G4524" s="38" t="str">
        <f>HYPERLINK("http://enext.ua/A1-51-1")</f>
        <v>http://enext.ua/A1-51-1</v>
      </c>
    </row>
    <row r="4525" spans="2:7" ht="11.25" outlineLevel="5" x14ac:dyDescent="0.2">
      <c r="B4525" s="14" t="s">
        <v>8577</v>
      </c>
      <c r="C4525" s="14" t="s">
        <v>8578</v>
      </c>
      <c r="D4525" s="14">
        <v>1</v>
      </c>
      <c r="E4525" s="15">
        <v>12.64</v>
      </c>
      <c r="F4525" s="16" t="s">
        <v>8</v>
      </c>
      <c r="G4525" s="38" t="str">
        <f>HYPERLINK("http://enext.ua/A1-101-1")</f>
        <v>http://enext.ua/A1-101-1</v>
      </c>
    </row>
    <row r="4526" spans="2:7" ht="11.25" outlineLevel="5" x14ac:dyDescent="0.2">
      <c r="B4526" s="14" t="s">
        <v>8579</v>
      </c>
      <c r="C4526" s="14" t="s">
        <v>8580</v>
      </c>
      <c r="D4526" s="14">
        <v>1</v>
      </c>
      <c r="E4526" s="15">
        <v>12.77</v>
      </c>
      <c r="F4526" s="16" t="s">
        <v>8</v>
      </c>
      <c r="G4526" s="38" t="str">
        <f>HYPERLINK("http://enext.ua/A1-101")</f>
        <v>http://enext.ua/A1-101</v>
      </c>
    </row>
    <row r="4527" spans="2:7" ht="12" outlineLevel="4" x14ac:dyDescent="0.2">
      <c r="B4527" s="12"/>
      <c r="C4527" s="37" t="s">
        <v>8581</v>
      </c>
      <c r="D4527" s="12"/>
      <c r="E4527" s="13"/>
      <c r="F4527" s="13"/>
      <c r="G4527" s="12"/>
    </row>
    <row r="4528" spans="2:7" ht="11.25" outlineLevel="5" x14ac:dyDescent="0.2">
      <c r="B4528" s="14" t="s">
        <v>8582</v>
      </c>
      <c r="C4528" s="14" t="s">
        <v>8583</v>
      </c>
      <c r="D4528" s="14">
        <v>1</v>
      </c>
      <c r="E4528" s="15">
        <v>32.36</v>
      </c>
      <c r="F4528" s="16" t="s">
        <v>4214</v>
      </c>
      <c r="G4528" s="38" t="str">
        <f>HYPERLINK("http://enext.ua/ASEP-5-09")</f>
        <v>http://enext.ua/ASEP-5-09</v>
      </c>
    </row>
    <row r="4529" spans="2:7" ht="11.25" outlineLevel="5" x14ac:dyDescent="0.2">
      <c r="B4529" s="14" t="s">
        <v>8584</v>
      </c>
      <c r="C4529" s="14" t="s">
        <v>8585</v>
      </c>
      <c r="D4529" s="14">
        <v>1</v>
      </c>
      <c r="E4529" s="15">
        <v>44.47</v>
      </c>
      <c r="F4529" s="16" t="s">
        <v>4214</v>
      </c>
      <c r="G4529" s="38" t="str">
        <f>HYPERLINK("http://enext.ua/ASEP-8-12")</f>
        <v>http://enext.ua/ASEP-8-12</v>
      </c>
    </row>
    <row r="4530" spans="2:7" ht="11.25" outlineLevel="5" x14ac:dyDescent="0.2">
      <c r="B4530" s="14" t="s">
        <v>8586</v>
      </c>
      <c r="C4530" s="14" t="s">
        <v>8587</v>
      </c>
      <c r="D4530" s="14">
        <v>1</v>
      </c>
      <c r="E4530" s="15">
        <v>45.52</v>
      </c>
      <c r="F4530" s="16" t="s">
        <v>4214</v>
      </c>
      <c r="G4530" s="38" t="str">
        <f>HYPERLINK("http://enext.ua/ASEP-10-09")</f>
        <v>http://enext.ua/ASEP-10-09</v>
      </c>
    </row>
    <row r="4531" spans="2:7" ht="12" outlineLevel="4" x14ac:dyDescent="0.2">
      <c r="B4531" s="12"/>
      <c r="C4531" s="37" t="s">
        <v>8588</v>
      </c>
      <c r="D4531" s="12"/>
      <c r="E4531" s="13"/>
      <c r="F4531" s="13"/>
      <c r="G4531" s="12"/>
    </row>
    <row r="4532" spans="2:7" ht="11.25" outlineLevel="5" x14ac:dyDescent="0.2">
      <c r="B4532" s="14" t="s">
        <v>8589</v>
      </c>
      <c r="C4532" s="14" t="s">
        <v>8590</v>
      </c>
      <c r="D4532" s="14">
        <v>1</v>
      </c>
      <c r="E4532" s="15">
        <v>11.52</v>
      </c>
      <c r="F4532" s="16" t="s">
        <v>8</v>
      </c>
      <c r="G4532" s="38" t="str">
        <f>HYPERLINK("http://enext.ua/AMD")</f>
        <v>http://enext.ua/AMD</v>
      </c>
    </row>
    <row r="4533" spans="2:7" ht="11.25" outlineLevel="5" x14ac:dyDescent="0.2">
      <c r="B4533" s="14" t="s">
        <v>8591</v>
      </c>
      <c r="C4533" s="14" t="s">
        <v>8592</v>
      </c>
      <c r="D4533" s="14">
        <v>1</v>
      </c>
      <c r="E4533" s="15">
        <v>110.79</v>
      </c>
      <c r="F4533" s="16" t="s">
        <v>4214</v>
      </c>
      <c r="G4533" s="38" t="str">
        <f>HYPERLINK("http://enext.ua/A3-100-1,5")</f>
        <v>http://enext.ua/A3-100-1,5</v>
      </c>
    </row>
    <row r="4534" spans="2:7" ht="11.25" outlineLevel="5" x14ac:dyDescent="0.2">
      <c r="B4534" s="14" t="s">
        <v>8593</v>
      </c>
      <c r="C4534" s="14" t="s">
        <v>8594</v>
      </c>
      <c r="D4534" s="14">
        <v>1</v>
      </c>
      <c r="E4534" s="15">
        <v>33.950000000000003</v>
      </c>
      <c r="F4534" s="16" t="s">
        <v>8</v>
      </c>
      <c r="G4534" s="38" t="str">
        <f>HYPERLINK("http://enext.ua/A3-1-A1")</f>
        <v>http://enext.ua/A3-1-A1</v>
      </c>
    </row>
    <row r="4535" spans="2:7" ht="11.25" outlineLevel="5" x14ac:dyDescent="0.2">
      <c r="B4535" s="14" t="s">
        <v>8595</v>
      </c>
      <c r="C4535" s="14" t="s">
        <v>8596</v>
      </c>
      <c r="D4535" s="14">
        <v>1</v>
      </c>
      <c r="E4535" s="15">
        <v>184.04</v>
      </c>
      <c r="F4535" s="16" t="s">
        <v>8</v>
      </c>
      <c r="G4535" s="38" t="str">
        <f>HYPERLINK("http://enext.ua/A3-1-10D")</f>
        <v>http://enext.ua/A3-1-10D</v>
      </c>
    </row>
    <row r="4536" spans="2:7" ht="11.25" outlineLevel="5" x14ac:dyDescent="0.2">
      <c r="B4536" s="14" t="s">
        <v>8597</v>
      </c>
      <c r="C4536" s="14" t="s">
        <v>8598</v>
      </c>
      <c r="D4536" s="14">
        <v>1</v>
      </c>
      <c r="E4536" s="15">
        <v>91.71</v>
      </c>
      <c r="F4536" s="16" t="s">
        <v>8</v>
      </c>
      <c r="G4536" s="38" t="str">
        <f>HYPERLINK("http://enext.ua/A3-3-40")</f>
        <v>http://enext.ua/A3-3-40</v>
      </c>
    </row>
    <row r="4537" spans="2:7" ht="11.25" outlineLevel="5" x14ac:dyDescent="0.2">
      <c r="B4537" s="14" t="s">
        <v>8599</v>
      </c>
      <c r="C4537" s="14" t="s">
        <v>8600</v>
      </c>
      <c r="D4537" s="14">
        <v>1</v>
      </c>
      <c r="E4537" s="15">
        <v>37.68</v>
      </c>
      <c r="F4537" s="16" t="s">
        <v>8</v>
      </c>
      <c r="G4537" s="38" t="str">
        <f>HYPERLINK("http://enext.ua/A6-10")</f>
        <v>http://enext.ua/A6-10</v>
      </c>
    </row>
    <row r="4538" spans="2:7" ht="11.25" outlineLevel="5" x14ac:dyDescent="0.2">
      <c r="B4538" s="14" t="s">
        <v>8601</v>
      </c>
      <c r="C4538" s="14" t="s">
        <v>8602</v>
      </c>
      <c r="D4538" s="14">
        <v>1</v>
      </c>
      <c r="E4538" s="15">
        <v>76.81</v>
      </c>
      <c r="F4538" s="16" t="s">
        <v>8</v>
      </c>
      <c r="G4538" s="38" t="str">
        <f>HYPERLINK("http://enext.ua/A6-30")</f>
        <v>http://enext.ua/A6-30</v>
      </c>
    </row>
    <row r="4539" spans="2:7" ht="11.25" outlineLevel="5" x14ac:dyDescent="0.2">
      <c r="B4539" s="14" t="s">
        <v>8603</v>
      </c>
      <c r="C4539" s="14" t="s">
        <v>8604</v>
      </c>
      <c r="D4539" s="14">
        <v>1</v>
      </c>
      <c r="E4539" s="15">
        <v>87.7</v>
      </c>
      <c r="F4539" s="16" t="s">
        <v>8</v>
      </c>
      <c r="G4539" s="38" t="str">
        <f>HYPERLINK("http://enext.ua/A6-40")</f>
        <v>http://enext.ua/A6-40</v>
      </c>
    </row>
    <row r="4540" spans="2:7" ht="11.25" outlineLevel="5" x14ac:dyDescent="0.2">
      <c r="B4540" s="14" t="s">
        <v>8605</v>
      </c>
      <c r="C4540" s="14" t="s">
        <v>8606</v>
      </c>
      <c r="D4540" s="14">
        <v>1</v>
      </c>
      <c r="E4540" s="15">
        <v>76.11</v>
      </c>
      <c r="F4540" s="16" t="s">
        <v>8</v>
      </c>
      <c r="G4540" s="38" t="str">
        <f>HYPERLINK("http://enext.ua/A6-20K")</f>
        <v>http://enext.ua/A6-20K</v>
      </c>
    </row>
    <row r="4541" spans="2:7" ht="11.25" outlineLevel="5" x14ac:dyDescent="0.2">
      <c r="B4541" s="14" t="s">
        <v>8607</v>
      </c>
      <c r="C4541" s="14" t="s">
        <v>8608</v>
      </c>
      <c r="D4541" s="14">
        <v>1</v>
      </c>
      <c r="E4541" s="15">
        <v>124.75</v>
      </c>
      <c r="F4541" s="16" t="s">
        <v>8</v>
      </c>
      <c r="G4541" s="38" t="str">
        <f>HYPERLINK("http://enext.ua/A6-30K")</f>
        <v>http://enext.ua/A6-30K</v>
      </c>
    </row>
    <row r="4542" spans="2:7" ht="11.25" outlineLevel="5" x14ac:dyDescent="0.2">
      <c r="B4542" s="14" t="s">
        <v>8609</v>
      </c>
      <c r="C4542" s="14" t="s">
        <v>8610</v>
      </c>
      <c r="D4542" s="14">
        <v>1</v>
      </c>
      <c r="E4542" s="15">
        <v>177.55</v>
      </c>
      <c r="F4542" s="16" t="s">
        <v>8</v>
      </c>
      <c r="G4542" s="38" t="str">
        <f>HYPERLINK("http://enext.ua/A6-40K")</f>
        <v>http://enext.ua/A6-40K</v>
      </c>
    </row>
    <row r="4543" spans="2:7" ht="11.25" outlineLevel="5" x14ac:dyDescent="0.2">
      <c r="B4543" s="14" t="s">
        <v>8611</v>
      </c>
      <c r="C4543" s="14" t="s">
        <v>8612</v>
      </c>
      <c r="D4543" s="14">
        <v>1</v>
      </c>
      <c r="E4543" s="15">
        <v>41.74</v>
      </c>
      <c r="F4543" s="16" t="s">
        <v>8</v>
      </c>
      <c r="G4543" s="38" t="str">
        <f>HYPERLINK("http://enext.ua/AYD-10-4")</f>
        <v>http://enext.ua/AYD-10-4</v>
      </c>
    </row>
    <row r="4544" spans="2:7" ht="11.25" outlineLevel="5" x14ac:dyDescent="0.2">
      <c r="B4544" s="14" t="s">
        <v>8613</v>
      </c>
      <c r="C4544" s="14" t="s">
        <v>8614</v>
      </c>
      <c r="D4544" s="14">
        <v>1</v>
      </c>
      <c r="E4544" s="15">
        <v>91.43</v>
      </c>
      <c r="F4544" s="16" t="s">
        <v>8</v>
      </c>
      <c r="G4544" s="38" t="str">
        <f>HYPERLINK("http://enext.ua/AYD-30-4")</f>
        <v>http://enext.ua/AYD-30-4</v>
      </c>
    </row>
    <row r="4545" spans="2:7" ht="11.25" outlineLevel="5" x14ac:dyDescent="0.2">
      <c r="B4545" s="14" t="s">
        <v>8615</v>
      </c>
      <c r="C4545" s="14" t="s">
        <v>8616</v>
      </c>
      <c r="D4545" s="14">
        <v>1</v>
      </c>
      <c r="E4545" s="15">
        <v>88.11</v>
      </c>
      <c r="F4545" s="16" t="s">
        <v>8</v>
      </c>
      <c r="G4545" s="38" t="str">
        <f>HYPERLINK("http://enext.ua/AYD-40-4")</f>
        <v>http://enext.ua/AYD-40-4</v>
      </c>
    </row>
    <row r="4546" spans="2:7" ht="11.25" outlineLevel="5" x14ac:dyDescent="0.2">
      <c r="B4546" s="14" t="s">
        <v>8617</v>
      </c>
      <c r="C4546" s="14" t="s">
        <v>8618</v>
      </c>
      <c r="D4546" s="14">
        <v>1</v>
      </c>
      <c r="E4546" s="15">
        <v>17.84</v>
      </c>
      <c r="F4546" s="16" t="s">
        <v>8</v>
      </c>
      <c r="G4546" s="38" t="str">
        <f>HYPERLINK("http://enext.ua/A5-1-1")</f>
        <v>http://enext.ua/A5-1-1</v>
      </c>
    </row>
    <row r="4547" spans="2:7" ht="11.25" outlineLevel="5" x14ac:dyDescent="0.2">
      <c r="B4547" s="14" t="s">
        <v>8619</v>
      </c>
      <c r="C4547" s="14" t="s">
        <v>8620</v>
      </c>
      <c r="D4547" s="14">
        <v>1</v>
      </c>
      <c r="E4547" s="15">
        <v>27.64</v>
      </c>
      <c r="F4547" s="16" t="s">
        <v>8</v>
      </c>
      <c r="G4547" s="38" t="str">
        <f>HYPERLINK("http://enext.ua/A5-1-3")</f>
        <v>http://enext.ua/A5-1-3</v>
      </c>
    </row>
    <row r="4548" spans="2:7" ht="11.25" outlineLevel="5" x14ac:dyDescent="0.2">
      <c r="B4548" s="14" t="s">
        <v>8621</v>
      </c>
      <c r="C4548" s="14" t="s">
        <v>8622</v>
      </c>
      <c r="D4548" s="14">
        <v>1</v>
      </c>
      <c r="E4548" s="15">
        <v>7.42</v>
      </c>
      <c r="F4548" s="16" t="s">
        <v>8</v>
      </c>
      <c r="G4548" s="38" t="str">
        <f>HYPERLINK("http://enext.ua/A5-2-05")</f>
        <v>http://enext.ua/A5-2-05</v>
      </c>
    </row>
    <row r="4549" spans="2:7" ht="11.25" outlineLevel="5" x14ac:dyDescent="0.2">
      <c r="B4549" s="14" t="s">
        <v>8623</v>
      </c>
      <c r="C4549" s="14" t="s">
        <v>8624</v>
      </c>
      <c r="D4549" s="14">
        <v>1</v>
      </c>
      <c r="E4549" s="15">
        <v>12.19</v>
      </c>
      <c r="F4549" s="16" t="s">
        <v>8</v>
      </c>
      <c r="G4549" s="38" t="str">
        <f>HYPERLINK("http://enext.ua/A5-2-10")</f>
        <v>http://enext.ua/A5-2-10</v>
      </c>
    </row>
    <row r="4550" spans="2:7" ht="11.25" outlineLevel="5" x14ac:dyDescent="0.2">
      <c r="B4550" s="14" t="s">
        <v>8625</v>
      </c>
      <c r="C4550" s="14" t="s">
        <v>8626</v>
      </c>
      <c r="D4550" s="14">
        <v>1</v>
      </c>
      <c r="E4550" s="15">
        <v>13.78</v>
      </c>
      <c r="F4550" s="16" t="s">
        <v>8</v>
      </c>
      <c r="G4550" s="38" t="str">
        <f>HYPERLINK("http://enext.ua/A5-2-16")</f>
        <v>http://enext.ua/A5-2-16</v>
      </c>
    </row>
    <row r="4551" spans="2:7" ht="11.25" outlineLevel="5" x14ac:dyDescent="0.2">
      <c r="B4551" s="14" t="s">
        <v>8627</v>
      </c>
      <c r="C4551" s="14" t="s">
        <v>8628</v>
      </c>
      <c r="D4551" s="14">
        <v>1</v>
      </c>
      <c r="E4551" s="15">
        <v>21.2</v>
      </c>
      <c r="F4551" s="16" t="s">
        <v>8</v>
      </c>
      <c r="G4551" s="38" t="str">
        <f>HYPERLINK("http://enext.ua/A5-2-20")</f>
        <v>http://enext.ua/A5-2-20</v>
      </c>
    </row>
    <row r="4552" spans="2:7" ht="11.25" outlineLevel="5" x14ac:dyDescent="0.2">
      <c r="B4552" s="14" t="s">
        <v>8629</v>
      </c>
      <c r="C4552" s="14" t="s">
        <v>8630</v>
      </c>
      <c r="D4552" s="14">
        <v>1</v>
      </c>
      <c r="E4552" s="15">
        <v>15.94</v>
      </c>
      <c r="F4552" s="16" t="s">
        <v>8</v>
      </c>
      <c r="G4552" s="38" t="str">
        <f>HYPERLINK("http://enext.ua/A5-4-10")</f>
        <v>http://enext.ua/A5-4-10</v>
      </c>
    </row>
    <row r="4553" spans="2:7" ht="11.25" outlineLevel="5" x14ac:dyDescent="0.2">
      <c r="B4553" s="14" t="s">
        <v>8631</v>
      </c>
      <c r="C4553" s="14" t="s">
        <v>8632</v>
      </c>
      <c r="D4553" s="14">
        <v>1</v>
      </c>
      <c r="E4553" s="15">
        <v>32.880000000000003</v>
      </c>
      <c r="F4553" s="16" t="s">
        <v>8</v>
      </c>
      <c r="G4553" s="38" t="str">
        <f>HYPERLINK("http://enext.ua/A5-4-16")</f>
        <v>http://enext.ua/A5-4-16</v>
      </c>
    </row>
    <row r="4554" spans="2:7" ht="11.25" outlineLevel="5" x14ac:dyDescent="0.2">
      <c r="B4554" s="14" t="s">
        <v>8633</v>
      </c>
      <c r="C4554" s="14" t="s">
        <v>8634</v>
      </c>
      <c r="D4554" s="14">
        <v>1</v>
      </c>
      <c r="E4554" s="15">
        <v>41.74</v>
      </c>
      <c r="F4554" s="16" t="s">
        <v>8</v>
      </c>
      <c r="G4554" s="38" t="str">
        <f>HYPERLINK("http://enext.ua/A5-4-20")</f>
        <v>http://enext.ua/A5-4-20</v>
      </c>
    </row>
    <row r="4555" spans="2:7" ht="11.25" outlineLevel="5" x14ac:dyDescent="0.2">
      <c r="B4555" s="14" t="s">
        <v>8635</v>
      </c>
      <c r="C4555" s="14" t="s">
        <v>8636</v>
      </c>
      <c r="D4555" s="14">
        <v>1</v>
      </c>
      <c r="E4555" s="15">
        <v>49.3</v>
      </c>
      <c r="F4555" s="16" t="s">
        <v>8</v>
      </c>
      <c r="G4555" s="38" t="str">
        <f>HYPERLINK("http://enext.ua/A5-4-30")</f>
        <v>http://enext.ua/A5-4-30</v>
      </c>
    </row>
    <row r="4556" spans="2:7" ht="11.25" outlineLevel="5" x14ac:dyDescent="0.2">
      <c r="B4556" s="14" t="s">
        <v>8637</v>
      </c>
      <c r="C4556" s="14" t="s">
        <v>8638</v>
      </c>
      <c r="D4556" s="14">
        <v>1</v>
      </c>
      <c r="E4556" s="15">
        <v>63.74</v>
      </c>
      <c r="F4556" s="16" t="s">
        <v>8</v>
      </c>
      <c r="G4556" s="38" t="str">
        <f>HYPERLINK("http://enext.ua/A5-4-40")</f>
        <v>http://enext.ua/A5-4-40</v>
      </c>
    </row>
    <row r="4557" spans="2:7" ht="11.25" outlineLevel="5" x14ac:dyDescent="0.2">
      <c r="B4557" s="14" t="s">
        <v>8639</v>
      </c>
      <c r="C4557" s="14" t="s">
        <v>8640</v>
      </c>
      <c r="D4557" s="14">
        <v>1</v>
      </c>
      <c r="E4557" s="15">
        <v>74.88</v>
      </c>
      <c r="F4557" s="16" t="s">
        <v>8</v>
      </c>
      <c r="G4557" s="38" t="str">
        <f>HYPERLINK("http://enext.ua/A5-4-50")</f>
        <v>http://enext.ua/A5-4-50</v>
      </c>
    </row>
    <row r="4558" spans="2:7" ht="11.25" outlineLevel="5" x14ac:dyDescent="0.2">
      <c r="B4558" s="14" t="s">
        <v>8641</v>
      </c>
      <c r="C4558" s="14" t="s">
        <v>8642</v>
      </c>
      <c r="D4558" s="14">
        <v>1</v>
      </c>
      <c r="E4558" s="15">
        <v>85.14</v>
      </c>
      <c r="F4558" s="16" t="s">
        <v>8</v>
      </c>
      <c r="G4558" s="38" t="str">
        <f>HYPERLINK("http://enext.ua/A5-4-60")</f>
        <v>http://enext.ua/A5-4-60</v>
      </c>
    </row>
    <row r="4559" spans="2:7" ht="11.25" outlineLevel="5" x14ac:dyDescent="0.2">
      <c r="B4559" s="14" t="s">
        <v>8643</v>
      </c>
      <c r="C4559" s="14" t="s">
        <v>8644</v>
      </c>
      <c r="D4559" s="14">
        <v>1</v>
      </c>
      <c r="E4559" s="15">
        <v>14.31</v>
      </c>
      <c r="F4559" s="16" t="s">
        <v>8</v>
      </c>
      <c r="G4559" s="38" t="str">
        <f>HYPERLINK("http://enext.ua/A5-6-5")</f>
        <v>http://enext.ua/A5-6-5</v>
      </c>
    </row>
    <row r="4560" spans="2:7" ht="11.25" outlineLevel="5" x14ac:dyDescent="0.2">
      <c r="B4560" s="14" t="s">
        <v>8645</v>
      </c>
      <c r="C4560" s="14" t="s">
        <v>8646</v>
      </c>
      <c r="D4560" s="14">
        <v>1</v>
      </c>
      <c r="E4560" s="15">
        <v>23.85</v>
      </c>
      <c r="F4560" s="16" t="s">
        <v>8</v>
      </c>
      <c r="G4560" s="38" t="str">
        <f>HYPERLINK("http://enext.ua/A5-6-10")</f>
        <v>http://enext.ua/A5-6-10</v>
      </c>
    </row>
    <row r="4561" spans="2:7" ht="11.25" outlineLevel="5" x14ac:dyDescent="0.2">
      <c r="B4561" s="14" t="s">
        <v>8647</v>
      </c>
      <c r="C4561" s="14" t="s">
        <v>8648</v>
      </c>
      <c r="D4561" s="14">
        <v>1</v>
      </c>
      <c r="E4561" s="15">
        <v>45.1</v>
      </c>
      <c r="F4561" s="16" t="s">
        <v>8</v>
      </c>
      <c r="G4561" s="38" t="str">
        <f>HYPERLINK("http://enext.ua/A5-7-05-Y110")</f>
        <v>http://enext.ua/A5-7-05-Y110</v>
      </c>
    </row>
    <row r="4562" spans="2:7" ht="11.25" outlineLevel="5" x14ac:dyDescent="0.2">
      <c r="B4562" s="14" t="s">
        <v>8649</v>
      </c>
      <c r="C4562" s="14" t="s">
        <v>8650</v>
      </c>
      <c r="D4562" s="14">
        <v>1</v>
      </c>
      <c r="E4562" s="15">
        <v>77.55</v>
      </c>
      <c r="F4562" s="16" t="s">
        <v>8</v>
      </c>
      <c r="G4562" s="38" t="str">
        <f>HYPERLINK("http://enext.ua/A5-7-10-Y110")</f>
        <v>http://enext.ua/A5-7-10-Y110</v>
      </c>
    </row>
    <row r="4563" spans="2:7" ht="11.25" outlineLevel="5" x14ac:dyDescent="0.2">
      <c r="B4563" s="14" t="s">
        <v>8651</v>
      </c>
      <c r="C4563" s="14" t="s">
        <v>8652</v>
      </c>
      <c r="D4563" s="14">
        <v>1</v>
      </c>
      <c r="E4563" s="15">
        <v>102.85</v>
      </c>
      <c r="F4563" s="16" t="s">
        <v>8</v>
      </c>
      <c r="G4563" s="38" t="str">
        <f>HYPERLINK("http://enext.ua/A5-7-16-Y110")</f>
        <v>http://enext.ua/A5-7-16-Y110</v>
      </c>
    </row>
    <row r="4564" spans="2:7" ht="11.25" outlineLevel="5" x14ac:dyDescent="0.2">
      <c r="B4564" s="14" t="s">
        <v>8653</v>
      </c>
      <c r="C4564" s="14" t="s">
        <v>8654</v>
      </c>
      <c r="D4564" s="14">
        <v>1</v>
      </c>
      <c r="E4564" s="15">
        <v>119.08</v>
      </c>
      <c r="F4564" s="16" t="s">
        <v>8</v>
      </c>
      <c r="G4564" s="38" t="str">
        <f>HYPERLINK("http://enext.ua/A5-7-20-Y110")</f>
        <v>http://enext.ua/A5-7-20-Y110</v>
      </c>
    </row>
    <row r="4565" spans="2:7" ht="12" outlineLevel="4" x14ac:dyDescent="0.2">
      <c r="B4565" s="12"/>
      <c r="C4565" s="37" t="s">
        <v>8655</v>
      </c>
      <c r="D4565" s="12"/>
      <c r="E4565" s="13"/>
      <c r="F4565" s="13"/>
      <c r="G4565" s="12"/>
    </row>
    <row r="4566" spans="2:7" ht="11.25" outlineLevel="5" x14ac:dyDescent="0.2">
      <c r="B4566" s="14" t="s">
        <v>8656</v>
      </c>
      <c r="C4566" s="14" t="s">
        <v>8657</v>
      </c>
      <c r="D4566" s="14">
        <v>1</v>
      </c>
      <c r="E4566" s="15">
        <v>29.76</v>
      </c>
      <c r="F4566" s="16" t="s">
        <v>8</v>
      </c>
      <c r="G4566" s="38" t="str">
        <f>HYPERLINK("http://enext.ua/m0070001")</f>
        <v>http://enext.ua/m0070001</v>
      </c>
    </row>
    <row r="4567" spans="2:7" ht="11.25" outlineLevel="5" x14ac:dyDescent="0.2">
      <c r="B4567" s="14" t="s">
        <v>8658</v>
      </c>
      <c r="C4567" s="14" t="s">
        <v>8659</v>
      </c>
      <c r="D4567" s="14">
        <v>1</v>
      </c>
      <c r="E4567" s="15">
        <v>0.6</v>
      </c>
      <c r="F4567" s="16" t="s">
        <v>8</v>
      </c>
      <c r="G4567" s="38" t="str">
        <f>HYPERLINK("http://enext.ua/m1030002")</f>
        <v>http://enext.ua/m1030002</v>
      </c>
    </row>
    <row r="4568" spans="2:7" ht="11.25" outlineLevel="5" x14ac:dyDescent="0.2">
      <c r="B4568" s="14" t="s">
        <v>8660</v>
      </c>
      <c r="C4568" s="14" t="s">
        <v>8661</v>
      </c>
      <c r="D4568" s="14">
        <v>1</v>
      </c>
      <c r="E4568" s="15">
        <v>4.4400000000000004</v>
      </c>
      <c r="F4568" s="16" t="s">
        <v>8</v>
      </c>
      <c r="G4568" s="38" t="str">
        <f>HYPERLINK("http://enext.ua/m0030008")</f>
        <v>http://enext.ua/m0030008</v>
      </c>
    </row>
    <row r="4569" spans="2:7" ht="11.25" outlineLevel="5" x14ac:dyDescent="0.2">
      <c r="B4569" s="14" t="s">
        <v>8662</v>
      </c>
      <c r="C4569" s="14" t="s">
        <v>8663</v>
      </c>
      <c r="D4569" s="14">
        <v>1</v>
      </c>
      <c r="E4569" s="15">
        <v>1.01</v>
      </c>
      <c r="F4569" s="16" t="s">
        <v>8</v>
      </c>
      <c r="G4569" s="38" t="str">
        <f>HYPERLINK("http://enext.ua/m1050011")</f>
        <v>http://enext.ua/m1050011</v>
      </c>
    </row>
    <row r="4570" spans="2:7" ht="11.25" outlineLevel="5" x14ac:dyDescent="0.2">
      <c r="B4570" s="14" t="s">
        <v>8664</v>
      </c>
      <c r="C4570" s="14" t="s">
        <v>8665</v>
      </c>
      <c r="D4570" s="14">
        <v>1</v>
      </c>
      <c r="E4570" s="15">
        <v>0.33</v>
      </c>
      <c r="F4570" s="16" t="s">
        <v>8</v>
      </c>
      <c r="G4570" s="38" t="str">
        <f>HYPERLINK("http://enext.ua/m1050003")</f>
        <v>http://enext.ua/m1050003</v>
      </c>
    </row>
    <row r="4571" spans="2:7" ht="11.25" outlineLevel="5" x14ac:dyDescent="0.2">
      <c r="B4571" s="14" t="s">
        <v>8666</v>
      </c>
      <c r="C4571" s="14" t="s">
        <v>8667</v>
      </c>
      <c r="D4571" s="14">
        <v>1</v>
      </c>
      <c r="E4571" s="15">
        <v>0.52</v>
      </c>
      <c r="F4571" s="16" t="s">
        <v>8</v>
      </c>
      <c r="G4571" s="38" t="str">
        <f>HYPERLINK("http://enext.ua/m1050006")</f>
        <v>http://enext.ua/m1050006</v>
      </c>
    </row>
    <row r="4572" spans="2:7" ht="11.25" outlineLevel="5" x14ac:dyDescent="0.2">
      <c r="B4572" s="14" t="s">
        <v>8668</v>
      </c>
      <c r="C4572" s="14" t="s">
        <v>8669</v>
      </c>
      <c r="D4572" s="14">
        <v>1</v>
      </c>
      <c r="E4572" s="15">
        <v>2.48</v>
      </c>
      <c r="F4572" s="16" t="s">
        <v>8</v>
      </c>
      <c r="G4572" s="38" t="str">
        <f>HYPERLINK("http://enext.ua/m1020021")</f>
        <v>http://enext.ua/m1020021</v>
      </c>
    </row>
    <row r="4573" spans="2:7" ht="12" outlineLevel="3" x14ac:dyDescent="0.2">
      <c r="B4573" s="10"/>
      <c r="C4573" s="36" t="s">
        <v>8670</v>
      </c>
      <c r="D4573" s="10"/>
      <c r="E4573" s="11"/>
      <c r="F4573" s="11"/>
      <c r="G4573" s="10"/>
    </row>
    <row r="4574" spans="2:7" ht="11.25" outlineLevel="4" x14ac:dyDescent="0.2">
      <c r="B4574" s="14" t="s">
        <v>8671</v>
      </c>
      <c r="C4574" s="14" t="s">
        <v>8672</v>
      </c>
      <c r="D4574" s="14">
        <v>1</v>
      </c>
      <c r="E4574" s="15">
        <v>20.079999999999998</v>
      </c>
      <c r="F4574" s="16" t="s">
        <v>8</v>
      </c>
      <c r="G4574" s="38" t="str">
        <f>HYPERLINK("http://enext.ua/ADK-050012")</f>
        <v>http://enext.ua/ADK-050012</v>
      </c>
    </row>
    <row r="4575" spans="2:7" ht="11.25" outlineLevel="4" x14ac:dyDescent="0.2">
      <c r="B4575" s="14" t="s">
        <v>8673</v>
      </c>
      <c r="C4575" s="14" t="s">
        <v>8674</v>
      </c>
      <c r="D4575" s="14">
        <v>1</v>
      </c>
      <c r="E4575" s="15">
        <v>22.28</v>
      </c>
      <c r="F4575" s="16" t="s">
        <v>8</v>
      </c>
      <c r="G4575" s="38" t="str">
        <f>HYPERLINK("http://enext.ua/ADK-050013")</f>
        <v>http://enext.ua/ADK-050013</v>
      </c>
    </row>
    <row r="4576" spans="2:7" ht="11.25" outlineLevel="4" x14ac:dyDescent="0.2">
      <c r="B4576" s="14" t="s">
        <v>8675</v>
      </c>
      <c r="C4576" s="14" t="s">
        <v>8676</v>
      </c>
      <c r="D4576" s="14">
        <v>100</v>
      </c>
      <c r="E4576" s="15">
        <v>63.53</v>
      </c>
      <c r="F4576" s="16" t="s">
        <v>8</v>
      </c>
      <c r="G4576" s="38" t="str">
        <f>HYPERLINK("http://enext.ua/ADK-050032")</f>
        <v>http://enext.ua/ADK-050032</v>
      </c>
    </row>
    <row r="4577" spans="2:7" ht="11.25" outlineLevel="4" x14ac:dyDescent="0.2">
      <c r="B4577" s="14" t="s">
        <v>8677</v>
      </c>
      <c r="C4577" s="14" t="s">
        <v>8678</v>
      </c>
      <c r="D4577" s="14">
        <v>100</v>
      </c>
      <c r="E4577" s="15">
        <v>39.33</v>
      </c>
      <c r="F4577" s="16" t="s">
        <v>8</v>
      </c>
      <c r="G4577" s="38" t="str">
        <f>HYPERLINK("http://enext.ua/ADK-050009")</f>
        <v>http://enext.ua/ADK-050009</v>
      </c>
    </row>
    <row r="4578" spans="2:7" ht="22.5" outlineLevel="4" x14ac:dyDescent="0.2">
      <c r="B4578" s="14" t="s">
        <v>8679</v>
      </c>
      <c r="C4578" s="14" t="s">
        <v>8680</v>
      </c>
      <c r="D4578" s="14">
        <v>1</v>
      </c>
      <c r="E4578" s="15">
        <v>922.2</v>
      </c>
      <c r="F4578" s="16" t="s">
        <v>8</v>
      </c>
      <c r="G4578" s="38" t="str">
        <f>HYPERLINK("http://enext.ua/ADK-M")</f>
        <v>http://enext.ua/ADK-M</v>
      </c>
    </row>
    <row r="4579" spans="2:7" ht="22.5" outlineLevel="4" x14ac:dyDescent="0.2">
      <c r="B4579" s="14" t="s">
        <v>8681</v>
      </c>
      <c r="C4579" s="14" t="s">
        <v>8682</v>
      </c>
      <c r="D4579" s="14">
        <v>1</v>
      </c>
      <c r="E4579" s="15">
        <v>869.28</v>
      </c>
      <c r="F4579" s="16" t="s">
        <v>8</v>
      </c>
      <c r="G4579" s="38" t="str">
        <f>HYPERLINK("http://enext.ua/ADK-P")</f>
        <v>http://enext.ua/ADK-P</v>
      </c>
    </row>
    <row r="4580" spans="2:7" ht="11.25" outlineLevel="4" x14ac:dyDescent="0.2">
      <c r="B4580" s="14" t="s">
        <v>8683</v>
      </c>
      <c r="C4580" s="14" t="s">
        <v>8684</v>
      </c>
      <c r="D4580" s="14">
        <v>50</v>
      </c>
      <c r="E4580" s="15">
        <v>53.9</v>
      </c>
      <c r="F4580" s="16" t="s">
        <v>8</v>
      </c>
      <c r="G4580" s="38" t="str">
        <f>HYPERLINK("http://enext.ua/ADK-300001")</f>
        <v>http://enext.ua/ADK-300001</v>
      </c>
    </row>
    <row r="4581" spans="2:7" ht="12" outlineLevel="3" x14ac:dyDescent="0.2">
      <c r="B4581" s="10"/>
      <c r="C4581" s="36" t="s">
        <v>8685</v>
      </c>
      <c r="D4581" s="10"/>
      <c r="E4581" s="11"/>
      <c r="F4581" s="11"/>
      <c r="G4581" s="10"/>
    </row>
    <row r="4582" spans="2:7" ht="11.25" outlineLevel="4" x14ac:dyDescent="0.2">
      <c r="B4582" s="14" t="s">
        <v>8686</v>
      </c>
      <c r="C4582" s="14" t="s">
        <v>8687</v>
      </c>
      <c r="D4582" s="14">
        <v>1</v>
      </c>
      <c r="E4582" s="15">
        <v>105.39</v>
      </c>
      <c r="F4582" s="16" t="s">
        <v>4214</v>
      </c>
      <c r="G4582" s="14"/>
    </row>
    <row r="4583" spans="2:7" ht="11.25" outlineLevel="4" x14ac:dyDescent="0.2">
      <c r="B4583" s="14" t="s">
        <v>8688</v>
      </c>
      <c r="C4583" s="14" t="s">
        <v>8689</v>
      </c>
      <c r="D4583" s="14">
        <v>9</v>
      </c>
      <c r="E4583" s="15">
        <v>202.34</v>
      </c>
      <c r="F4583" s="16" t="s">
        <v>4214</v>
      </c>
      <c r="G4583" s="14"/>
    </row>
    <row r="4584" spans="2:7" ht="12" outlineLevel="2" x14ac:dyDescent="0.2">
      <c r="B4584" s="8"/>
      <c r="C4584" s="35" t="s">
        <v>8690</v>
      </c>
      <c r="D4584" s="8"/>
      <c r="E4584" s="9"/>
      <c r="F4584" s="9"/>
      <c r="G4584" s="8"/>
    </row>
    <row r="4585" spans="2:7" ht="12" outlineLevel="3" x14ac:dyDescent="0.2">
      <c r="B4585" s="10"/>
      <c r="C4585" s="36" t="s">
        <v>8691</v>
      </c>
      <c r="D4585" s="10"/>
      <c r="E4585" s="11"/>
      <c r="F4585" s="11"/>
      <c r="G4585" s="10"/>
    </row>
    <row r="4586" spans="2:7" ht="11.25" outlineLevel="4" x14ac:dyDescent="0.2">
      <c r="B4586" s="14" t="s">
        <v>8692</v>
      </c>
      <c r="C4586" s="14" t="s">
        <v>8693</v>
      </c>
      <c r="D4586" s="14">
        <v>1</v>
      </c>
      <c r="E4586" s="15">
        <v>34.229999999999997</v>
      </c>
      <c r="F4586" s="16" t="s">
        <v>4214</v>
      </c>
      <c r="G4586" s="14"/>
    </row>
    <row r="4587" spans="2:7" ht="12" outlineLevel="3" x14ac:dyDescent="0.2">
      <c r="B4587" s="10"/>
      <c r="C4587" s="36" t="s">
        <v>8694</v>
      </c>
      <c r="D4587" s="10"/>
      <c r="E4587" s="11"/>
      <c r="F4587" s="11"/>
      <c r="G4587" s="10"/>
    </row>
    <row r="4588" spans="2:7" ht="11.25" outlineLevel="4" x14ac:dyDescent="0.2">
      <c r="B4588" s="14" t="s">
        <v>8695</v>
      </c>
      <c r="C4588" s="14" t="s">
        <v>8696</v>
      </c>
      <c r="D4588" s="14">
        <v>1</v>
      </c>
      <c r="E4588" s="15">
        <v>102.64</v>
      </c>
      <c r="F4588" s="16" t="s">
        <v>4214</v>
      </c>
      <c r="G4588" s="14"/>
    </row>
    <row r="4589" spans="2:7" ht="12" outlineLevel="3" x14ac:dyDescent="0.2">
      <c r="B4589" s="10"/>
      <c r="C4589" s="36" t="s">
        <v>8697</v>
      </c>
      <c r="D4589" s="10"/>
      <c r="E4589" s="11"/>
      <c r="F4589" s="11"/>
      <c r="G4589" s="10"/>
    </row>
    <row r="4590" spans="2:7" ht="11.25" outlineLevel="4" x14ac:dyDescent="0.2">
      <c r="B4590" s="14" t="s">
        <v>8698</v>
      </c>
      <c r="C4590" s="14" t="s">
        <v>8699</v>
      </c>
      <c r="D4590" s="14">
        <v>1</v>
      </c>
      <c r="E4590" s="15">
        <v>48.82</v>
      </c>
      <c r="F4590" s="16" t="s">
        <v>8</v>
      </c>
      <c r="G4590" s="14"/>
    </row>
    <row r="4591" spans="2:7" ht="11.25" outlineLevel="4" x14ac:dyDescent="0.2">
      <c r="B4591" s="14" t="s">
        <v>8700</v>
      </c>
      <c r="C4591" s="14" t="s">
        <v>8701</v>
      </c>
      <c r="D4591" s="14">
        <v>1</v>
      </c>
      <c r="E4591" s="15">
        <v>111.45</v>
      </c>
      <c r="F4591" s="16" t="s">
        <v>8</v>
      </c>
      <c r="G4591" s="14"/>
    </row>
    <row r="4592" spans="2:7" ht="12" outlineLevel="3" x14ac:dyDescent="0.2">
      <c r="B4592" s="10"/>
      <c r="C4592" s="36" t="s">
        <v>8702</v>
      </c>
      <c r="D4592" s="10"/>
      <c r="E4592" s="11"/>
      <c r="F4592" s="11"/>
      <c r="G4592" s="10"/>
    </row>
    <row r="4593" spans="2:7" ht="11.25" outlineLevel="4" x14ac:dyDescent="0.2">
      <c r="B4593" s="14" t="s">
        <v>8703</v>
      </c>
      <c r="C4593" s="14" t="s">
        <v>8704</v>
      </c>
      <c r="D4593" s="14">
        <v>1</v>
      </c>
      <c r="E4593" s="15">
        <v>192.23</v>
      </c>
      <c r="F4593" s="16" t="s">
        <v>8</v>
      </c>
      <c r="G4593" s="14"/>
    </row>
    <row r="4594" spans="2:7" ht="12" outlineLevel="3" x14ac:dyDescent="0.2">
      <c r="B4594" s="10"/>
      <c r="C4594" s="36" t="s">
        <v>8705</v>
      </c>
      <c r="D4594" s="10"/>
      <c r="E4594" s="11"/>
      <c r="F4594" s="11"/>
      <c r="G4594" s="10"/>
    </row>
    <row r="4595" spans="2:7" ht="11.25" outlineLevel="4" x14ac:dyDescent="0.2">
      <c r="B4595" s="14" t="s">
        <v>8706</v>
      </c>
      <c r="C4595" s="14" t="s">
        <v>8707</v>
      </c>
      <c r="D4595" s="14">
        <v>1</v>
      </c>
      <c r="E4595" s="15">
        <v>24.78</v>
      </c>
      <c r="F4595" s="16" t="s">
        <v>8</v>
      </c>
      <c r="G4595" s="14"/>
    </row>
    <row r="4596" spans="2:7" ht="11.25" outlineLevel="4" x14ac:dyDescent="0.2">
      <c r="B4596" s="14" t="s">
        <v>8708</v>
      </c>
      <c r="C4596" s="14" t="s">
        <v>8709</v>
      </c>
      <c r="D4596" s="14">
        <v>1</v>
      </c>
      <c r="E4596" s="15">
        <v>20.38</v>
      </c>
      <c r="F4596" s="16" t="s">
        <v>4214</v>
      </c>
      <c r="G4596" s="14"/>
    </row>
    <row r="4597" spans="2:7" ht="11.25" outlineLevel="4" x14ac:dyDescent="0.2">
      <c r="B4597" s="14" t="s">
        <v>8710</v>
      </c>
      <c r="C4597" s="14" t="s">
        <v>8711</v>
      </c>
      <c r="D4597" s="14">
        <v>1</v>
      </c>
      <c r="E4597" s="15">
        <v>66.989999999999995</v>
      </c>
      <c r="F4597" s="16" t="s">
        <v>4214</v>
      </c>
      <c r="G4597" s="14"/>
    </row>
    <row r="4598" spans="2:7" ht="11.25" outlineLevel="4" x14ac:dyDescent="0.2">
      <c r="B4598" s="14" t="s">
        <v>8712</v>
      </c>
      <c r="C4598" s="14" t="s">
        <v>8713</v>
      </c>
      <c r="D4598" s="14">
        <v>1</v>
      </c>
      <c r="E4598" s="15">
        <v>40.81</v>
      </c>
      <c r="F4598" s="16" t="s">
        <v>8</v>
      </c>
      <c r="G4598" s="14"/>
    </row>
    <row r="4599" spans="2:7" ht="11.25" outlineLevel="4" x14ac:dyDescent="0.2">
      <c r="B4599" s="14" t="s">
        <v>8714</v>
      </c>
      <c r="C4599" s="14" t="s">
        <v>8715</v>
      </c>
      <c r="D4599" s="14">
        <v>1</v>
      </c>
      <c r="E4599" s="15">
        <v>69.150000000000006</v>
      </c>
      <c r="F4599" s="16" t="s">
        <v>8</v>
      </c>
      <c r="G4599" s="14"/>
    </row>
    <row r="4600" spans="2:7" ht="12" outlineLevel="2" x14ac:dyDescent="0.2">
      <c r="B4600" s="8"/>
      <c r="C4600" s="35" t="s">
        <v>8716</v>
      </c>
      <c r="D4600" s="8"/>
      <c r="E4600" s="9"/>
      <c r="F4600" s="9"/>
      <c r="G4600" s="8"/>
    </row>
    <row r="4601" spans="2:7" ht="12" outlineLevel="3" x14ac:dyDescent="0.2">
      <c r="B4601" s="10"/>
      <c r="C4601" s="36" t="s">
        <v>8717</v>
      </c>
      <c r="D4601" s="10"/>
      <c r="E4601" s="11"/>
      <c r="F4601" s="11"/>
      <c r="G4601" s="10"/>
    </row>
    <row r="4602" spans="2:7" ht="12" outlineLevel="4" x14ac:dyDescent="0.2">
      <c r="B4602" s="12"/>
      <c r="C4602" s="37" t="s">
        <v>8718</v>
      </c>
      <c r="D4602" s="12"/>
      <c r="E4602" s="13"/>
      <c r="F4602" s="13"/>
      <c r="G4602" s="12"/>
    </row>
    <row r="4603" spans="2:7" ht="12" outlineLevel="5" x14ac:dyDescent="0.2">
      <c r="B4603" s="18"/>
      <c r="C4603" s="39" t="s">
        <v>8719</v>
      </c>
      <c r="D4603" s="18"/>
      <c r="E4603" s="19"/>
      <c r="F4603" s="19"/>
      <c r="G4603" s="18"/>
    </row>
    <row r="4604" spans="2:7" ht="11.25" outlineLevel="6" x14ac:dyDescent="0.2">
      <c r="B4604" s="14" t="s">
        <v>8720</v>
      </c>
      <c r="C4604" s="14" t="s">
        <v>8721</v>
      </c>
      <c r="D4604" s="14">
        <v>1</v>
      </c>
      <c r="E4604" s="15">
        <v>62.22</v>
      </c>
      <c r="F4604" s="16" t="s">
        <v>4214</v>
      </c>
      <c r="G4604" s="14"/>
    </row>
    <row r="4605" spans="2:7" ht="11.25" outlineLevel="6" x14ac:dyDescent="0.2">
      <c r="B4605" s="14" t="s">
        <v>8722</v>
      </c>
      <c r="C4605" s="14" t="s">
        <v>8723</v>
      </c>
      <c r="D4605" s="14">
        <v>1</v>
      </c>
      <c r="E4605" s="15">
        <v>75.010000000000005</v>
      </c>
      <c r="F4605" s="16" t="s">
        <v>4214</v>
      </c>
      <c r="G4605" s="14"/>
    </row>
    <row r="4606" spans="2:7" ht="11.25" outlineLevel="6" x14ac:dyDescent="0.2">
      <c r="B4606" s="14" t="s">
        <v>8724</v>
      </c>
      <c r="C4606" s="14" t="s">
        <v>8725</v>
      </c>
      <c r="D4606" s="14">
        <v>1</v>
      </c>
      <c r="E4606" s="15">
        <v>93.37</v>
      </c>
      <c r="F4606" s="16" t="s">
        <v>4214</v>
      </c>
      <c r="G4606" s="38" t="str">
        <f>HYPERLINK("http://enext.ua/2115210")</f>
        <v>http://enext.ua/2115210</v>
      </c>
    </row>
    <row r="4607" spans="2:7" ht="11.25" outlineLevel="6" x14ac:dyDescent="0.2">
      <c r="B4607" s="14" t="s">
        <v>8726</v>
      </c>
      <c r="C4607" s="14" t="s">
        <v>8727</v>
      </c>
      <c r="D4607" s="14">
        <v>1</v>
      </c>
      <c r="E4607" s="15">
        <v>115.32</v>
      </c>
      <c r="F4607" s="16" t="s">
        <v>4214</v>
      </c>
      <c r="G4607" s="14"/>
    </row>
    <row r="4608" spans="2:7" ht="11.25" outlineLevel="6" x14ac:dyDescent="0.2">
      <c r="B4608" s="14" t="s">
        <v>8728</v>
      </c>
      <c r="C4608" s="14" t="s">
        <v>8729</v>
      </c>
      <c r="D4608" s="14">
        <v>1</v>
      </c>
      <c r="E4608" s="15">
        <v>48.77</v>
      </c>
      <c r="F4608" s="16" t="s">
        <v>4214</v>
      </c>
      <c r="G4608" s="38" t="str">
        <f>HYPERLINK("http://enext.ua/2111210")</f>
        <v>http://enext.ua/2111210</v>
      </c>
    </row>
    <row r="4609" spans="2:7" ht="12" outlineLevel="5" x14ac:dyDescent="0.2">
      <c r="B4609" s="18"/>
      <c r="C4609" s="39" t="s">
        <v>8730</v>
      </c>
      <c r="D4609" s="18"/>
      <c r="E4609" s="19"/>
      <c r="F4609" s="19"/>
      <c r="G4609" s="18"/>
    </row>
    <row r="4610" spans="2:7" ht="11.25" outlineLevel="6" x14ac:dyDescent="0.2">
      <c r="B4610" s="14" t="s">
        <v>8731</v>
      </c>
      <c r="C4610" s="14" t="s">
        <v>8732</v>
      </c>
      <c r="D4610" s="14">
        <v>1</v>
      </c>
      <c r="E4610" s="15">
        <v>62.22</v>
      </c>
      <c r="F4610" s="16" t="s">
        <v>4214</v>
      </c>
      <c r="G4610" s="14"/>
    </row>
    <row r="4611" spans="2:7" ht="11.25" outlineLevel="6" x14ac:dyDescent="0.2">
      <c r="B4611" s="14" t="s">
        <v>8733</v>
      </c>
      <c r="C4611" s="14" t="s">
        <v>8734</v>
      </c>
      <c r="D4611" s="14">
        <v>1</v>
      </c>
      <c r="E4611" s="15">
        <v>75.010000000000005</v>
      </c>
      <c r="F4611" s="16" t="s">
        <v>4214</v>
      </c>
      <c r="G4611" s="14"/>
    </row>
    <row r="4612" spans="2:7" ht="11.25" outlineLevel="6" x14ac:dyDescent="0.2">
      <c r="B4612" s="14" t="s">
        <v>8735</v>
      </c>
      <c r="C4612" s="14" t="s">
        <v>8736</v>
      </c>
      <c r="D4612" s="14">
        <v>1</v>
      </c>
      <c r="E4612" s="15">
        <v>93.37</v>
      </c>
      <c r="F4612" s="16" t="s">
        <v>4214</v>
      </c>
      <c r="G4612" s="14"/>
    </row>
    <row r="4613" spans="2:7" ht="11.25" outlineLevel="6" x14ac:dyDescent="0.2">
      <c r="B4613" s="14" t="s">
        <v>8737</v>
      </c>
      <c r="C4613" s="14" t="s">
        <v>8738</v>
      </c>
      <c r="D4613" s="14">
        <v>1</v>
      </c>
      <c r="E4613" s="15">
        <v>115.32</v>
      </c>
      <c r="F4613" s="16" t="s">
        <v>4214</v>
      </c>
      <c r="G4613" s="14"/>
    </row>
    <row r="4614" spans="2:7" ht="11.25" outlineLevel="6" x14ac:dyDescent="0.2">
      <c r="B4614" s="14" t="s">
        <v>8739</v>
      </c>
      <c r="C4614" s="14" t="s">
        <v>8740</v>
      </c>
      <c r="D4614" s="14">
        <v>1</v>
      </c>
      <c r="E4614" s="15">
        <v>48.77</v>
      </c>
      <c r="F4614" s="16" t="s">
        <v>4214</v>
      </c>
      <c r="G4614" s="14"/>
    </row>
    <row r="4615" spans="2:7" ht="12" outlineLevel="5" x14ac:dyDescent="0.2">
      <c r="B4615" s="18"/>
      <c r="C4615" s="39" t="s">
        <v>8741</v>
      </c>
      <c r="D4615" s="18"/>
      <c r="E4615" s="19"/>
      <c r="F4615" s="19"/>
      <c r="G4615" s="18"/>
    </row>
    <row r="4616" spans="2:7" ht="11.25" outlineLevel="6" x14ac:dyDescent="0.2">
      <c r="B4616" s="14" t="s">
        <v>8742</v>
      </c>
      <c r="C4616" s="14" t="s">
        <v>8743</v>
      </c>
      <c r="D4616" s="14">
        <v>1</v>
      </c>
      <c r="E4616" s="15">
        <v>42.77</v>
      </c>
      <c r="F4616" s="16" t="s">
        <v>4214</v>
      </c>
      <c r="G4616" s="14"/>
    </row>
    <row r="4617" spans="2:7" ht="11.25" outlineLevel="6" x14ac:dyDescent="0.2">
      <c r="B4617" s="14" t="s">
        <v>8744</v>
      </c>
      <c r="C4617" s="14" t="s">
        <v>8745</v>
      </c>
      <c r="D4617" s="14">
        <v>1</v>
      </c>
      <c r="E4617" s="15">
        <v>58.87</v>
      </c>
      <c r="F4617" s="16" t="s">
        <v>4214</v>
      </c>
      <c r="G4617" s="14"/>
    </row>
    <row r="4618" spans="2:7" ht="11.25" outlineLevel="6" x14ac:dyDescent="0.2">
      <c r="B4618" s="14" t="s">
        <v>8746</v>
      </c>
      <c r="C4618" s="14" t="s">
        <v>8747</v>
      </c>
      <c r="D4618" s="14">
        <v>1</v>
      </c>
      <c r="E4618" s="15">
        <v>66.680000000000007</v>
      </c>
      <c r="F4618" s="16" t="s">
        <v>4214</v>
      </c>
      <c r="G4618" s="14"/>
    </row>
    <row r="4619" spans="2:7" ht="11.25" outlineLevel="6" x14ac:dyDescent="0.2">
      <c r="B4619" s="14" t="s">
        <v>8748</v>
      </c>
      <c r="C4619" s="14" t="s">
        <v>8749</v>
      </c>
      <c r="D4619" s="14">
        <v>1</v>
      </c>
      <c r="E4619" s="15">
        <v>100.34</v>
      </c>
      <c r="F4619" s="16" t="s">
        <v>4214</v>
      </c>
      <c r="G4619" s="14"/>
    </row>
    <row r="4620" spans="2:7" ht="11.25" outlineLevel="6" x14ac:dyDescent="0.2">
      <c r="B4620" s="14" t="s">
        <v>8750</v>
      </c>
      <c r="C4620" s="14" t="s">
        <v>8751</v>
      </c>
      <c r="D4620" s="14">
        <v>1</v>
      </c>
      <c r="E4620" s="15">
        <v>28.15</v>
      </c>
      <c r="F4620" s="16" t="s">
        <v>4214</v>
      </c>
      <c r="G4620" s="14"/>
    </row>
    <row r="4621" spans="2:7" ht="11.25" outlineLevel="6" x14ac:dyDescent="0.2">
      <c r="B4621" s="14" t="s">
        <v>8752</v>
      </c>
      <c r="C4621" s="14" t="s">
        <v>8753</v>
      </c>
      <c r="D4621" s="14">
        <v>1</v>
      </c>
      <c r="E4621" s="15">
        <v>39.26</v>
      </c>
      <c r="F4621" s="16" t="s">
        <v>4214</v>
      </c>
      <c r="G4621" s="38" t="str">
        <f>HYPERLINK("http://enext.ua/2122011")</f>
        <v>http://enext.ua/2122011</v>
      </c>
    </row>
    <row r="4622" spans="2:7" ht="12" outlineLevel="4" x14ac:dyDescent="0.2">
      <c r="B4622" s="12"/>
      <c r="C4622" s="37" t="s">
        <v>8754</v>
      </c>
      <c r="D4622" s="12"/>
      <c r="E4622" s="13"/>
      <c r="F4622" s="13"/>
      <c r="G4622" s="12"/>
    </row>
    <row r="4623" spans="2:7" ht="12" outlineLevel="5" x14ac:dyDescent="0.2">
      <c r="B4623" s="18"/>
      <c r="C4623" s="39" t="s">
        <v>8755</v>
      </c>
      <c r="D4623" s="18"/>
      <c r="E4623" s="19"/>
      <c r="F4623" s="19"/>
      <c r="G4623" s="18"/>
    </row>
    <row r="4624" spans="2:7" ht="11.25" outlineLevel="6" x14ac:dyDescent="0.2">
      <c r="B4624" s="14" t="s">
        <v>8756</v>
      </c>
      <c r="C4624" s="14" t="s">
        <v>8757</v>
      </c>
      <c r="D4624" s="14">
        <v>1</v>
      </c>
      <c r="E4624" s="15">
        <v>82.87</v>
      </c>
      <c r="F4624" s="16" t="s">
        <v>4214</v>
      </c>
      <c r="G4624" s="38" t="str">
        <f>HYPERLINK("http://enext.ua/2113120")</f>
        <v>http://enext.ua/2113120</v>
      </c>
    </row>
    <row r="4625" spans="2:7" ht="11.25" outlineLevel="6" x14ac:dyDescent="0.2">
      <c r="B4625" s="14" t="s">
        <v>8758</v>
      </c>
      <c r="C4625" s="14" t="s">
        <v>8759</v>
      </c>
      <c r="D4625" s="14">
        <v>1</v>
      </c>
      <c r="E4625" s="15">
        <v>108.76</v>
      </c>
      <c r="F4625" s="16" t="s">
        <v>4214</v>
      </c>
      <c r="G4625" s="14"/>
    </row>
    <row r="4626" spans="2:7" ht="11.25" outlineLevel="6" x14ac:dyDescent="0.2">
      <c r="B4626" s="14" t="s">
        <v>8760</v>
      </c>
      <c r="C4626" s="14" t="s">
        <v>8761</v>
      </c>
      <c r="D4626" s="14">
        <v>1</v>
      </c>
      <c r="E4626" s="15">
        <v>118.91</v>
      </c>
      <c r="F4626" s="16" t="s">
        <v>4214</v>
      </c>
      <c r="G4626" s="14"/>
    </row>
    <row r="4627" spans="2:7" ht="11.25" outlineLevel="6" x14ac:dyDescent="0.2">
      <c r="B4627" s="14" t="s">
        <v>8762</v>
      </c>
      <c r="C4627" s="14" t="s">
        <v>8763</v>
      </c>
      <c r="D4627" s="14">
        <v>1</v>
      </c>
      <c r="E4627" s="15">
        <v>149.11000000000001</v>
      </c>
      <c r="F4627" s="16" t="s">
        <v>4214</v>
      </c>
      <c r="G4627" s="14"/>
    </row>
    <row r="4628" spans="2:7" ht="11.25" outlineLevel="6" x14ac:dyDescent="0.2">
      <c r="B4628" s="14" t="s">
        <v>8764</v>
      </c>
      <c r="C4628" s="14" t="s">
        <v>8765</v>
      </c>
      <c r="D4628" s="14">
        <v>1</v>
      </c>
      <c r="E4628" s="15">
        <v>43.85</v>
      </c>
      <c r="F4628" s="16" t="s">
        <v>4214</v>
      </c>
      <c r="G4628" s="38" t="str">
        <f>HYPERLINK("http://enext.ua/2111110")</f>
        <v>http://enext.ua/2111110</v>
      </c>
    </row>
    <row r="4629" spans="2:7" ht="11.25" outlineLevel="6" x14ac:dyDescent="0.2">
      <c r="B4629" s="14" t="s">
        <v>8766</v>
      </c>
      <c r="C4629" s="14" t="s">
        <v>8767</v>
      </c>
      <c r="D4629" s="14">
        <v>1</v>
      </c>
      <c r="E4629" s="15">
        <v>78</v>
      </c>
      <c r="F4629" s="16" t="s">
        <v>4214</v>
      </c>
      <c r="G4629" s="14"/>
    </row>
    <row r="4630" spans="2:7" ht="12" outlineLevel="5" x14ac:dyDescent="0.2">
      <c r="B4630" s="18"/>
      <c r="C4630" s="39" t="s">
        <v>8768</v>
      </c>
      <c r="D4630" s="18"/>
      <c r="E4630" s="19"/>
      <c r="F4630" s="19"/>
      <c r="G4630" s="18"/>
    </row>
    <row r="4631" spans="2:7" ht="11.25" outlineLevel="6" x14ac:dyDescent="0.2">
      <c r="B4631" s="14" t="s">
        <v>8769</v>
      </c>
      <c r="C4631" s="14" t="s">
        <v>8770</v>
      </c>
      <c r="D4631" s="14">
        <v>1</v>
      </c>
      <c r="E4631" s="15">
        <v>80.5</v>
      </c>
      <c r="F4631" s="16" t="s">
        <v>4214</v>
      </c>
      <c r="G4631" s="38" t="str">
        <f>HYPERLINK("http://enext.ua/2113220")</f>
        <v>http://enext.ua/2113220</v>
      </c>
    </row>
    <row r="4632" spans="2:7" ht="11.25" outlineLevel="6" x14ac:dyDescent="0.2">
      <c r="B4632" s="14" t="s">
        <v>8771</v>
      </c>
      <c r="C4632" s="14" t="s">
        <v>8772</v>
      </c>
      <c r="D4632" s="14">
        <v>1</v>
      </c>
      <c r="E4632" s="15">
        <v>93.25</v>
      </c>
      <c r="F4632" s="16" t="s">
        <v>4214</v>
      </c>
      <c r="G4632" s="38" t="str">
        <f>HYPERLINK("http://enext.ua/2114220")</f>
        <v>http://enext.ua/2114220</v>
      </c>
    </row>
    <row r="4633" spans="2:7" ht="11.25" outlineLevel="6" x14ac:dyDescent="0.2">
      <c r="B4633" s="14" t="s">
        <v>8773</v>
      </c>
      <c r="C4633" s="14" t="s">
        <v>8774</v>
      </c>
      <c r="D4633" s="14">
        <v>1</v>
      </c>
      <c r="E4633" s="15">
        <v>118.48</v>
      </c>
      <c r="F4633" s="16" t="s">
        <v>4214</v>
      </c>
      <c r="G4633" s="14"/>
    </row>
    <row r="4634" spans="2:7" ht="11.25" outlineLevel="6" x14ac:dyDescent="0.2">
      <c r="B4634" s="14" t="s">
        <v>8775</v>
      </c>
      <c r="C4634" s="14" t="s">
        <v>8776</v>
      </c>
      <c r="D4634" s="14">
        <v>1</v>
      </c>
      <c r="E4634" s="15">
        <v>153.30000000000001</v>
      </c>
      <c r="F4634" s="16" t="s">
        <v>4214</v>
      </c>
      <c r="G4634" s="14"/>
    </row>
    <row r="4635" spans="2:7" ht="11.25" outlineLevel="6" x14ac:dyDescent="0.2">
      <c r="B4635" s="14" t="s">
        <v>8777</v>
      </c>
      <c r="C4635" s="14" t="s">
        <v>8778</v>
      </c>
      <c r="D4635" s="14">
        <v>1</v>
      </c>
      <c r="E4635" s="15">
        <v>249.17</v>
      </c>
      <c r="F4635" s="16" t="s">
        <v>4214</v>
      </c>
      <c r="G4635" s="38" t="str">
        <f>HYPERLINK("http://enext.ua/2117240")</f>
        <v>http://enext.ua/2117240</v>
      </c>
    </row>
    <row r="4636" spans="2:7" ht="11.25" outlineLevel="6" x14ac:dyDescent="0.2">
      <c r="B4636" s="14" t="s">
        <v>8779</v>
      </c>
      <c r="C4636" s="14" t="s">
        <v>8780</v>
      </c>
      <c r="D4636" s="14">
        <v>1</v>
      </c>
      <c r="E4636" s="15">
        <v>295.31</v>
      </c>
      <c r="F4636" s="16" t="s">
        <v>4214</v>
      </c>
      <c r="G4636" s="38" t="str">
        <f>HYPERLINK("http://enext.ua/2118240")</f>
        <v>http://enext.ua/2118240</v>
      </c>
    </row>
    <row r="4637" spans="2:7" ht="11.25" outlineLevel="6" x14ac:dyDescent="0.2">
      <c r="B4637" s="14" t="s">
        <v>8781</v>
      </c>
      <c r="C4637" s="14" t="s">
        <v>8782</v>
      </c>
      <c r="D4637" s="14">
        <v>1</v>
      </c>
      <c r="E4637" s="15">
        <v>71.02</v>
      </c>
      <c r="F4637" s="16" t="s">
        <v>4214</v>
      </c>
      <c r="G4637" s="38" t="str">
        <f>HYPERLINK("http://enext.ua/2111220")</f>
        <v>http://enext.ua/2111220</v>
      </c>
    </row>
    <row r="4638" spans="2:7" ht="11.25" outlineLevel="6" x14ac:dyDescent="0.2">
      <c r="B4638" s="14" t="s">
        <v>8783</v>
      </c>
      <c r="C4638" s="14" t="s">
        <v>8784</v>
      </c>
      <c r="D4638" s="14">
        <v>1</v>
      </c>
      <c r="E4638" s="15">
        <v>322.81</v>
      </c>
      <c r="F4638" s="16" t="s">
        <v>4214</v>
      </c>
      <c r="G4638" s="38" t="str">
        <f>HYPERLINK("http://enext.ua/2119240")</f>
        <v>http://enext.ua/2119240</v>
      </c>
    </row>
    <row r="4639" spans="2:7" ht="12" outlineLevel="5" x14ac:dyDescent="0.2">
      <c r="B4639" s="18"/>
      <c r="C4639" s="39" t="s">
        <v>8785</v>
      </c>
      <c r="D4639" s="18"/>
      <c r="E4639" s="19"/>
      <c r="F4639" s="19"/>
      <c r="G4639" s="18"/>
    </row>
    <row r="4640" spans="2:7" ht="11.25" outlineLevel="6" x14ac:dyDescent="0.2">
      <c r="B4640" s="14" t="s">
        <v>8786</v>
      </c>
      <c r="C4640" s="14" t="s">
        <v>8787</v>
      </c>
      <c r="D4640" s="14">
        <v>1</v>
      </c>
      <c r="E4640" s="15">
        <v>97</v>
      </c>
      <c r="F4640" s="16" t="s">
        <v>4214</v>
      </c>
      <c r="G4640" s="38" t="str">
        <f>HYPERLINK("http://enext.ua/2113320")</f>
        <v>http://enext.ua/2113320</v>
      </c>
    </row>
    <row r="4641" spans="2:7" ht="11.25" outlineLevel="6" x14ac:dyDescent="0.2">
      <c r="B4641" s="14" t="s">
        <v>8788</v>
      </c>
      <c r="C4641" s="14" t="s">
        <v>8789</v>
      </c>
      <c r="D4641" s="14">
        <v>1</v>
      </c>
      <c r="E4641" s="15">
        <v>114.71</v>
      </c>
      <c r="F4641" s="16" t="s">
        <v>4214</v>
      </c>
      <c r="G4641" s="38" t="str">
        <f>HYPERLINK("http://enext.ua/2114320")</f>
        <v>http://enext.ua/2114320</v>
      </c>
    </row>
    <row r="4642" spans="2:7" ht="11.25" outlineLevel="6" x14ac:dyDescent="0.2">
      <c r="B4642" s="14" t="s">
        <v>8790</v>
      </c>
      <c r="C4642" s="14" t="s">
        <v>8791</v>
      </c>
      <c r="D4642" s="14">
        <v>1</v>
      </c>
      <c r="E4642" s="15">
        <v>137.44999999999999</v>
      </c>
      <c r="F4642" s="16" t="s">
        <v>4214</v>
      </c>
      <c r="G4642" s="14"/>
    </row>
    <row r="4643" spans="2:7" ht="11.25" outlineLevel="6" x14ac:dyDescent="0.2">
      <c r="B4643" s="14" t="s">
        <v>8792</v>
      </c>
      <c r="C4643" s="14" t="s">
        <v>8793</v>
      </c>
      <c r="D4643" s="14">
        <v>1</v>
      </c>
      <c r="E4643" s="15">
        <v>173.28</v>
      </c>
      <c r="F4643" s="16" t="s">
        <v>4214</v>
      </c>
      <c r="G4643" s="14"/>
    </row>
    <row r="4644" spans="2:7" ht="11.25" outlineLevel="6" x14ac:dyDescent="0.2">
      <c r="B4644" s="14" t="s">
        <v>8794</v>
      </c>
      <c r="C4644" s="14" t="s">
        <v>8795</v>
      </c>
      <c r="D4644" s="14">
        <v>1</v>
      </c>
      <c r="E4644" s="15">
        <v>277.33</v>
      </c>
      <c r="F4644" s="16" t="s">
        <v>4214</v>
      </c>
      <c r="G4644" s="38" t="str">
        <f>HYPERLINK("http://enext.ua/2117340")</f>
        <v>http://enext.ua/2117340</v>
      </c>
    </row>
    <row r="4645" spans="2:7" ht="11.25" outlineLevel="6" x14ac:dyDescent="0.2">
      <c r="B4645" s="14" t="s">
        <v>8796</v>
      </c>
      <c r="C4645" s="14" t="s">
        <v>8797</v>
      </c>
      <c r="D4645" s="14">
        <v>1</v>
      </c>
      <c r="E4645" s="15">
        <v>330.92</v>
      </c>
      <c r="F4645" s="16" t="s">
        <v>4214</v>
      </c>
      <c r="G4645" s="14"/>
    </row>
    <row r="4646" spans="2:7" ht="11.25" outlineLevel="6" x14ac:dyDescent="0.2">
      <c r="B4646" s="14" t="s">
        <v>8798</v>
      </c>
      <c r="C4646" s="14" t="s">
        <v>8799</v>
      </c>
      <c r="D4646" s="14">
        <v>1</v>
      </c>
      <c r="E4646" s="15">
        <v>380.09</v>
      </c>
      <c r="F4646" s="16" t="s">
        <v>4214</v>
      </c>
      <c r="G4646" s="38" t="str">
        <f>HYPERLINK("http://enext.ua/2119340")</f>
        <v>http://enext.ua/2119340</v>
      </c>
    </row>
    <row r="4647" spans="2:7" ht="11.25" outlineLevel="6" x14ac:dyDescent="0.2">
      <c r="B4647" s="14" t="s">
        <v>8800</v>
      </c>
      <c r="C4647" s="14" t="s">
        <v>8801</v>
      </c>
      <c r="D4647" s="14">
        <v>1</v>
      </c>
      <c r="E4647" s="15">
        <v>89.63</v>
      </c>
      <c r="F4647" s="16" t="s">
        <v>4214</v>
      </c>
      <c r="G4647" s="38" t="str">
        <f>HYPERLINK("http://enext.ua/2112320")</f>
        <v>http://enext.ua/2112320</v>
      </c>
    </row>
    <row r="4648" spans="2:7" ht="12" outlineLevel="5" x14ac:dyDescent="0.2">
      <c r="B4648" s="18"/>
      <c r="C4648" s="39" t="s">
        <v>8802</v>
      </c>
      <c r="D4648" s="18"/>
      <c r="E4648" s="19"/>
      <c r="F4648" s="19"/>
      <c r="G4648" s="18"/>
    </row>
    <row r="4649" spans="2:7" ht="11.25" outlineLevel="6" x14ac:dyDescent="0.2">
      <c r="B4649" s="14" t="s">
        <v>8803</v>
      </c>
      <c r="C4649" s="14" t="s">
        <v>8804</v>
      </c>
      <c r="D4649" s="14">
        <v>1</v>
      </c>
      <c r="E4649" s="15">
        <v>110.71</v>
      </c>
      <c r="F4649" s="16" t="s">
        <v>4214</v>
      </c>
      <c r="G4649" s="38" t="str">
        <f>HYPERLINK("http://enext.ua/2113420")</f>
        <v>http://enext.ua/2113420</v>
      </c>
    </row>
    <row r="4650" spans="2:7" ht="11.25" outlineLevel="6" x14ac:dyDescent="0.2">
      <c r="B4650" s="14" t="s">
        <v>8805</v>
      </c>
      <c r="C4650" s="14" t="s">
        <v>8806</v>
      </c>
      <c r="D4650" s="14">
        <v>1</v>
      </c>
      <c r="E4650" s="15">
        <v>128.51</v>
      </c>
      <c r="F4650" s="16" t="s">
        <v>4214</v>
      </c>
      <c r="G4650" s="38" t="str">
        <f>HYPERLINK("http://enext.ua/2114420")</f>
        <v>http://enext.ua/2114420</v>
      </c>
    </row>
    <row r="4651" spans="2:7" ht="11.25" outlineLevel="6" x14ac:dyDescent="0.2">
      <c r="B4651" s="14" t="s">
        <v>8807</v>
      </c>
      <c r="C4651" s="14" t="s">
        <v>8808</v>
      </c>
      <c r="D4651" s="14">
        <v>1</v>
      </c>
      <c r="E4651" s="15">
        <v>153.88999999999999</v>
      </c>
      <c r="F4651" s="16" t="s">
        <v>4214</v>
      </c>
      <c r="G4651" s="14"/>
    </row>
    <row r="4652" spans="2:7" ht="11.25" outlineLevel="6" x14ac:dyDescent="0.2">
      <c r="B4652" s="14" t="s">
        <v>8809</v>
      </c>
      <c r="C4652" s="14" t="s">
        <v>8810</v>
      </c>
      <c r="D4652" s="14">
        <v>1</v>
      </c>
      <c r="E4652" s="15">
        <v>208.86</v>
      </c>
      <c r="F4652" s="16" t="s">
        <v>4214</v>
      </c>
      <c r="G4652" s="14"/>
    </row>
    <row r="4653" spans="2:7" ht="11.25" outlineLevel="6" x14ac:dyDescent="0.2">
      <c r="B4653" s="14" t="s">
        <v>8811</v>
      </c>
      <c r="C4653" s="14" t="s">
        <v>8812</v>
      </c>
      <c r="D4653" s="14">
        <v>1</v>
      </c>
      <c r="E4653" s="15">
        <v>295.62</v>
      </c>
      <c r="F4653" s="16" t="s">
        <v>4214</v>
      </c>
      <c r="G4653" s="38" t="str">
        <f>HYPERLINK("http://enext.ua/2117440")</f>
        <v>http://enext.ua/2117440</v>
      </c>
    </row>
    <row r="4654" spans="2:7" ht="11.25" outlineLevel="6" x14ac:dyDescent="0.2">
      <c r="B4654" s="14" t="s">
        <v>8813</v>
      </c>
      <c r="C4654" s="14" t="s">
        <v>8814</v>
      </c>
      <c r="D4654" s="14">
        <v>1</v>
      </c>
      <c r="E4654" s="15">
        <v>345.86</v>
      </c>
      <c r="F4654" s="16" t="s">
        <v>4214</v>
      </c>
      <c r="G4654" s="14"/>
    </row>
    <row r="4655" spans="2:7" ht="11.25" outlineLevel="6" x14ac:dyDescent="0.2">
      <c r="B4655" s="14" t="s">
        <v>8815</v>
      </c>
      <c r="C4655" s="14" t="s">
        <v>8816</v>
      </c>
      <c r="D4655" s="14">
        <v>1</v>
      </c>
      <c r="E4655" s="15">
        <v>399.4</v>
      </c>
      <c r="F4655" s="16" t="s">
        <v>4214</v>
      </c>
      <c r="G4655" s="38" t="str">
        <f>HYPERLINK("http://enext.ua/2119440")</f>
        <v>http://enext.ua/2119440</v>
      </c>
    </row>
    <row r="4656" spans="2:7" ht="12" outlineLevel="5" x14ac:dyDescent="0.2">
      <c r="B4656" s="18"/>
      <c r="C4656" s="39" t="s">
        <v>8817</v>
      </c>
      <c r="D4656" s="18"/>
      <c r="E4656" s="19"/>
      <c r="F4656" s="19"/>
      <c r="G4656" s="18"/>
    </row>
    <row r="4657" spans="2:7" ht="11.25" outlineLevel="6" x14ac:dyDescent="0.2">
      <c r="B4657" s="14" t="s">
        <v>8818</v>
      </c>
      <c r="C4657" s="14" t="s">
        <v>8819</v>
      </c>
      <c r="D4657" s="14">
        <v>1</v>
      </c>
      <c r="E4657" s="15">
        <v>82.87</v>
      </c>
      <c r="F4657" s="16" t="s">
        <v>4214</v>
      </c>
      <c r="G4657" s="14"/>
    </row>
    <row r="4658" spans="2:7" ht="11.25" outlineLevel="6" x14ac:dyDescent="0.2">
      <c r="B4658" s="14" t="s">
        <v>8820</v>
      </c>
      <c r="C4658" s="14" t="s">
        <v>8821</v>
      </c>
      <c r="D4658" s="14">
        <v>1</v>
      </c>
      <c r="E4658" s="15">
        <v>108.76</v>
      </c>
      <c r="F4658" s="16" t="s">
        <v>4214</v>
      </c>
      <c r="G4658" s="14"/>
    </row>
    <row r="4659" spans="2:7" ht="11.25" outlineLevel="6" x14ac:dyDescent="0.2">
      <c r="B4659" s="14" t="s">
        <v>8822</v>
      </c>
      <c r="C4659" s="14" t="s">
        <v>8823</v>
      </c>
      <c r="D4659" s="14">
        <v>1</v>
      </c>
      <c r="E4659" s="15">
        <v>118.91</v>
      </c>
      <c r="F4659" s="16" t="s">
        <v>4214</v>
      </c>
      <c r="G4659" s="14"/>
    </row>
    <row r="4660" spans="2:7" ht="11.25" outlineLevel="6" x14ac:dyDescent="0.2">
      <c r="B4660" s="14" t="s">
        <v>8824</v>
      </c>
      <c r="C4660" s="14" t="s">
        <v>8825</v>
      </c>
      <c r="D4660" s="14">
        <v>1</v>
      </c>
      <c r="E4660" s="15">
        <v>149.11000000000001</v>
      </c>
      <c r="F4660" s="16" t="s">
        <v>4214</v>
      </c>
      <c r="G4660" s="14"/>
    </row>
    <row r="4661" spans="2:7" ht="11.25" outlineLevel="6" x14ac:dyDescent="0.2">
      <c r="B4661" s="14" t="s">
        <v>8826</v>
      </c>
      <c r="C4661" s="14" t="s">
        <v>8827</v>
      </c>
      <c r="D4661" s="14">
        <v>1</v>
      </c>
      <c r="E4661" s="15">
        <v>43.85</v>
      </c>
      <c r="F4661" s="16" t="s">
        <v>4214</v>
      </c>
      <c r="G4661" s="38" t="str">
        <f>HYPERLINK("http://enext.ua/2121110")</f>
        <v>http://enext.ua/2121110</v>
      </c>
    </row>
    <row r="4662" spans="2:7" ht="11.25" outlineLevel="6" x14ac:dyDescent="0.2">
      <c r="B4662" s="14" t="s">
        <v>8828</v>
      </c>
      <c r="C4662" s="14" t="s">
        <v>8829</v>
      </c>
      <c r="D4662" s="14">
        <v>1</v>
      </c>
      <c r="E4662" s="15">
        <v>78</v>
      </c>
      <c r="F4662" s="16" t="s">
        <v>4214</v>
      </c>
      <c r="G4662" s="38" t="str">
        <f>HYPERLINK("http://enext.ua/2122110")</f>
        <v>http://enext.ua/2122110</v>
      </c>
    </row>
    <row r="4663" spans="2:7" ht="12" outlineLevel="5" x14ac:dyDescent="0.2">
      <c r="B4663" s="18"/>
      <c r="C4663" s="39" t="s">
        <v>8830</v>
      </c>
      <c r="D4663" s="18"/>
      <c r="E4663" s="19"/>
      <c r="F4663" s="19"/>
      <c r="G4663" s="18"/>
    </row>
    <row r="4664" spans="2:7" ht="11.25" outlineLevel="6" x14ac:dyDescent="0.2">
      <c r="B4664" s="14" t="s">
        <v>8831</v>
      </c>
      <c r="C4664" s="14" t="s">
        <v>8832</v>
      </c>
      <c r="D4664" s="14">
        <v>1</v>
      </c>
      <c r="E4664" s="15">
        <v>80.5</v>
      </c>
      <c r="F4664" s="16" t="s">
        <v>4214</v>
      </c>
      <c r="G4664" s="38" t="str">
        <f>HYPERLINK("http://enext.ua/2123220")</f>
        <v>http://enext.ua/2123220</v>
      </c>
    </row>
    <row r="4665" spans="2:7" ht="11.25" outlineLevel="6" x14ac:dyDescent="0.2">
      <c r="B4665" s="14" t="s">
        <v>8833</v>
      </c>
      <c r="C4665" s="14" t="s">
        <v>8834</v>
      </c>
      <c r="D4665" s="14">
        <v>1</v>
      </c>
      <c r="E4665" s="15">
        <v>93.25</v>
      </c>
      <c r="F4665" s="16" t="s">
        <v>4214</v>
      </c>
      <c r="G4665" s="38" t="str">
        <f>HYPERLINK("http://enext.ua/2124220")</f>
        <v>http://enext.ua/2124220</v>
      </c>
    </row>
    <row r="4666" spans="2:7" ht="11.25" outlineLevel="6" x14ac:dyDescent="0.2">
      <c r="B4666" s="14" t="s">
        <v>8835</v>
      </c>
      <c r="C4666" s="14" t="s">
        <v>8836</v>
      </c>
      <c r="D4666" s="14">
        <v>1</v>
      </c>
      <c r="E4666" s="15">
        <v>118.48</v>
      </c>
      <c r="F4666" s="16" t="s">
        <v>4214</v>
      </c>
      <c r="G4666" s="14"/>
    </row>
    <row r="4667" spans="2:7" ht="11.25" outlineLevel="6" x14ac:dyDescent="0.2">
      <c r="B4667" s="14" t="s">
        <v>8837</v>
      </c>
      <c r="C4667" s="14" t="s">
        <v>8838</v>
      </c>
      <c r="D4667" s="14">
        <v>1</v>
      </c>
      <c r="E4667" s="15">
        <v>153.30000000000001</v>
      </c>
      <c r="F4667" s="16" t="s">
        <v>4214</v>
      </c>
      <c r="G4667" s="14"/>
    </row>
    <row r="4668" spans="2:7" ht="11.25" outlineLevel="6" x14ac:dyDescent="0.2">
      <c r="B4668" s="14" t="s">
        <v>8839</v>
      </c>
      <c r="C4668" s="14" t="s">
        <v>8840</v>
      </c>
      <c r="D4668" s="14">
        <v>1</v>
      </c>
      <c r="E4668" s="15">
        <v>249.17</v>
      </c>
      <c r="F4668" s="16" t="s">
        <v>4214</v>
      </c>
      <c r="G4668" s="38" t="str">
        <f>HYPERLINK("http://enext.ua/2127240")</f>
        <v>http://enext.ua/2127240</v>
      </c>
    </row>
    <row r="4669" spans="2:7" ht="11.25" outlineLevel="6" x14ac:dyDescent="0.2">
      <c r="B4669" s="14" t="s">
        <v>8841</v>
      </c>
      <c r="C4669" s="14" t="s">
        <v>8842</v>
      </c>
      <c r="D4669" s="14">
        <v>1</v>
      </c>
      <c r="E4669" s="15">
        <v>295.31</v>
      </c>
      <c r="F4669" s="16" t="s">
        <v>4214</v>
      </c>
      <c r="G4669" s="14"/>
    </row>
    <row r="4670" spans="2:7" ht="11.25" outlineLevel="6" x14ac:dyDescent="0.2">
      <c r="B4670" s="14" t="s">
        <v>8843</v>
      </c>
      <c r="C4670" s="14" t="s">
        <v>8844</v>
      </c>
      <c r="D4670" s="14">
        <v>1</v>
      </c>
      <c r="E4670" s="15">
        <v>71.02</v>
      </c>
      <c r="F4670" s="16" t="s">
        <v>4214</v>
      </c>
      <c r="G4670" s="38" t="str">
        <f>HYPERLINK("http://enext.ua/2121220")</f>
        <v>http://enext.ua/2121220</v>
      </c>
    </row>
    <row r="4671" spans="2:7" ht="11.25" outlineLevel="6" x14ac:dyDescent="0.2">
      <c r="B4671" s="14" t="s">
        <v>8845</v>
      </c>
      <c r="C4671" s="14" t="s">
        <v>8846</v>
      </c>
      <c r="D4671" s="14">
        <v>1</v>
      </c>
      <c r="E4671" s="15">
        <v>322.81</v>
      </c>
      <c r="F4671" s="16" t="s">
        <v>4214</v>
      </c>
      <c r="G4671" s="14"/>
    </row>
    <row r="4672" spans="2:7" ht="12" outlineLevel="5" x14ac:dyDescent="0.2">
      <c r="B4672" s="18"/>
      <c r="C4672" s="39" t="s">
        <v>8847</v>
      </c>
      <c r="D4672" s="18"/>
      <c r="E4672" s="19"/>
      <c r="F4672" s="19"/>
      <c r="G4672" s="18"/>
    </row>
    <row r="4673" spans="2:7" ht="11.25" outlineLevel="6" x14ac:dyDescent="0.2">
      <c r="B4673" s="14" t="s">
        <v>8848</v>
      </c>
      <c r="C4673" s="14" t="s">
        <v>8849</v>
      </c>
      <c r="D4673" s="14">
        <v>1</v>
      </c>
      <c r="E4673" s="15">
        <v>97</v>
      </c>
      <c r="F4673" s="16" t="s">
        <v>4214</v>
      </c>
      <c r="G4673" s="38" t="str">
        <f>HYPERLINK("http://enext.ua/2123320")</f>
        <v>http://enext.ua/2123320</v>
      </c>
    </row>
    <row r="4674" spans="2:7" ht="11.25" outlineLevel="6" x14ac:dyDescent="0.2">
      <c r="B4674" s="14" t="s">
        <v>8850</v>
      </c>
      <c r="C4674" s="14" t="s">
        <v>8851</v>
      </c>
      <c r="D4674" s="14">
        <v>1</v>
      </c>
      <c r="E4674" s="15">
        <v>114.71</v>
      </c>
      <c r="F4674" s="16" t="s">
        <v>4214</v>
      </c>
      <c r="G4674" s="38" t="str">
        <f>HYPERLINK("http://enext.ua/2124320")</f>
        <v>http://enext.ua/2124320</v>
      </c>
    </row>
    <row r="4675" spans="2:7" ht="11.25" outlineLevel="6" x14ac:dyDescent="0.2">
      <c r="B4675" s="14" t="s">
        <v>8852</v>
      </c>
      <c r="C4675" s="14" t="s">
        <v>8853</v>
      </c>
      <c r="D4675" s="14">
        <v>1</v>
      </c>
      <c r="E4675" s="15">
        <v>137.44999999999999</v>
      </c>
      <c r="F4675" s="16" t="s">
        <v>4214</v>
      </c>
      <c r="G4675" s="14"/>
    </row>
    <row r="4676" spans="2:7" ht="11.25" outlineLevel="6" x14ac:dyDescent="0.2">
      <c r="B4676" s="14" t="s">
        <v>8854</v>
      </c>
      <c r="C4676" s="14" t="s">
        <v>8855</v>
      </c>
      <c r="D4676" s="14">
        <v>1</v>
      </c>
      <c r="E4676" s="15">
        <v>173.28</v>
      </c>
      <c r="F4676" s="16" t="s">
        <v>4214</v>
      </c>
      <c r="G4676" s="14"/>
    </row>
    <row r="4677" spans="2:7" ht="11.25" outlineLevel="6" x14ac:dyDescent="0.2">
      <c r="B4677" s="14" t="s">
        <v>8856</v>
      </c>
      <c r="C4677" s="14" t="s">
        <v>8857</v>
      </c>
      <c r="D4677" s="14">
        <v>1</v>
      </c>
      <c r="E4677" s="15">
        <v>277.33</v>
      </c>
      <c r="F4677" s="16" t="s">
        <v>4214</v>
      </c>
      <c r="G4677" s="38" t="str">
        <f>HYPERLINK("http://enext.ua/2127340")</f>
        <v>http://enext.ua/2127340</v>
      </c>
    </row>
    <row r="4678" spans="2:7" ht="11.25" outlineLevel="6" x14ac:dyDescent="0.2">
      <c r="B4678" s="14" t="s">
        <v>8858</v>
      </c>
      <c r="C4678" s="14" t="s">
        <v>8859</v>
      </c>
      <c r="D4678" s="14">
        <v>1</v>
      </c>
      <c r="E4678" s="15">
        <v>330.92</v>
      </c>
      <c r="F4678" s="16" t="s">
        <v>4214</v>
      </c>
      <c r="G4678" s="14"/>
    </row>
    <row r="4679" spans="2:7" ht="11.25" outlineLevel="6" x14ac:dyDescent="0.2">
      <c r="B4679" s="14" t="s">
        <v>8860</v>
      </c>
      <c r="C4679" s="14" t="s">
        <v>8861</v>
      </c>
      <c r="D4679" s="14">
        <v>1</v>
      </c>
      <c r="E4679" s="15">
        <v>380.09</v>
      </c>
      <c r="F4679" s="16" t="s">
        <v>4214</v>
      </c>
      <c r="G4679" s="14"/>
    </row>
    <row r="4680" spans="2:7" ht="11.25" outlineLevel="6" x14ac:dyDescent="0.2">
      <c r="B4680" s="14" t="s">
        <v>8862</v>
      </c>
      <c r="C4680" s="14" t="s">
        <v>8863</v>
      </c>
      <c r="D4680" s="14">
        <v>1</v>
      </c>
      <c r="E4680" s="15">
        <v>89.63</v>
      </c>
      <c r="F4680" s="16" t="s">
        <v>4214</v>
      </c>
      <c r="G4680" s="38" t="str">
        <f>HYPERLINK("http://enext.ua/2122320")</f>
        <v>http://enext.ua/2122320</v>
      </c>
    </row>
    <row r="4681" spans="2:7" ht="12" outlineLevel="5" x14ac:dyDescent="0.2">
      <c r="B4681" s="18"/>
      <c r="C4681" s="39" t="s">
        <v>8864</v>
      </c>
      <c r="D4681" s="18"/>
      <c r="E4681" s="19"/>
      <c r="F4681" s="19"/>
      <c r="G4681" s="18"/>
    </row>
    <row r="4682" spans="2:7" ht="11.25" outlineLevel="6" x14ac:dyDescent="0.2">
      <c r="B4682" s="14" t="s">
        <v>8865</v>
      </c>
      <c r="C4682" s="14" t="s">
        <v>8866</v>
      </c>
      <c r="D4682" s="14">
        <v>1</v>
      </c>
      <c r="E4682" s="15">
        <v>110.71</v>
      </c>
      <c r="F4682" s="16" t="s">
        <v>4214</v>
      </c>
      <c r="G4682" s="38" t="str">
        <f>HYPERLINK("http://enext.ua/2123420")</f>
        <v>http://enext.ua/2123420</v>
      </c>
    </row>
    <row r="4683" spans="2:7" ht="11.25" outlineLevel="6" x14ac:dyDescent="0.2">
      <c r="B4683" s="14" t="s">
        <v>8867</v>
      </c>
      <c r="C4683" s="14" t="s">
        <v>8868</v>
      </c>
      <c r="D4683" s="14">
        <v>1</v>
      </c>
      <c r="E4683" s="15">
        <v>128.51</v>
      </c>
      <c r="F4683" s="16" t="s">
        <v>4214</v>
      </c>
      <c r="G4683" s="38" t="str">
        <f>HYPERLINK("http://enext.ua/2124420")</f>
        <v>http://enext.ua/2124420</v>
      </c>
    </row>
    <row r="4684" spans="2:7" ht="11.25" outlineLevel="6" x14ac:dyDescent="0.2">
      <c r="B4684" s="14" t="s">
        <v>8869</v>
      </c>
      <c r="C4684" s="14" t="s">
        <v>8870</v>
      </c>
      <c r="D4684" s="14">
        <v>1</v>
      </c>
      <c r="E4684" s="15">
        <v>153.88999999999999</v>
      </c>
      <c r="F4684" s="16" t="s">
        <v>4214</v>
      </c>
      <c r="G4684" s="14"/>
    </row>
    <row r="4685" spans="2:7" ht="11.25" outlineLevel="6" x14ac:dyDescent="0.2">
      <c r="B4685" s="14" t="s">
        <v>8871</v>
      </c>
      <c r="C4685" s="14" t="s">
        <v>8872</v>
      </c>
      <c r="D4685" s="14">
        <v>1</v>
      </c>
      <c r="E4685" s="15">
        <v>208.86</v>
      </c>
      <c r="F4685" s="16" t="s">
        <v>4214</v>
      </c>
      <c r="G4685" s="14"/>
    </row>
    <row r="4686" spans="2:7" ht="11.25" outlineLevel="6" x14ac:dyDescent="0.2">
      <c r="B4686" s="14" t="s">
        <v>8873</v>
      </c>
      <c r="C4686" s="14" t="s">
        <v>8874</v>
      </c>
      <c r="D4686" s="14">
        <v>1</v>
      </c>
      <c r="E4686" s="15">
        <v>295.62</v>
      </c>
      <c r="F4686" s="16" t="s">
        <v>4214</v>
      </c>
      <c r="G4686" s="38" t="str">
        <f>HYPERLINK("http://enext.ua/2127440")</f>
        <v>http://enext.ua/2127440</v>
      </c>
    </row>
    <row r="4687" spans="2:7" ht="11.25" outlineLevel="6" x14ac:dyDescent="0.2">
      <c r="B4687" s="14" t="s">
        <v>8875</v>
      </c>
      <c r="C4687" s="14" t="s">
        <v>8876</v>
      </c>
      <c r="D4687" s="14">
        <v>1</v>
      </c>
      <c r="E4687" s="15">
        <v>345.86</v>
      </c>
      <c r="F4687" s="16" t="s">
        <v>4214</v>
      </c>
      <c r="G4687" s="38" t="str">
        <f>HYPERLINK("http://enext.ua/2128440")</f>
        <v>http://enext.ua/2128440</v>
      </c>
    </row>
    <row r="4688" spans="2:7" ht="11.25" outlineLevel="6" x14ac:dyDescent="0.2">
      <c r="B4688" s="14" t="s">
        <v>8877</v>
      </c>
      <c r="C4688" s="14" t="s">
        <v>8878</v>
      </c>
      <c r="D4688" s="14">
        <v>1</v>
      </c>
      <c r="E4688" s="15">
        <v>399.4</v>
      </c>
      <c r="F4688" s="16" t="s">
        <v>4214</v>
      </c>
      <c r="G4688" s="14"/>
    </row>
    <row r="4689" spans="2:7" ht="12" outlineLevel="5" x14ac:dyDescent="0.2">
      <c r="B4689" s="18"/>
      <c r="C4689" s="39" t="s">
        <v>8879</v>
      </c>
      <c r="D4689" s="18"/>
      <c r="E4689" s="19"/>
      <c r="F4689" s="19"/>
      <c r="G4689" s="18"/>
    </row>
    <row r="4690" spans="2:7" ht="11.25" outlineLevel="6" x14ac:dyDescent="0.2">
      <c r="B4690" s="14" t="s">
        <v>8880</v>
      </c>
      <c r="C4690" s="14" t="s">
        <v>8881</v>
      </c>
      <c r="D4690" s="14">
        <v>1</v>
      </c>
      <c r="E4690" s="15">
        <v>55.39</v>
      </c>
      <c r="F4690" s="16" t="s">
        <v>4214</v>
      </c>
      <c r="G4690" s="38" t="str">
        <f>HYPERLINK("http://enext.ua/2123021")</f>
        <v>http://enext.ua/2123021</v>
      </c>
    </row>
    <row r="4691" spans="2:7" ht="11.25" outlineLevel="6" x14ac:dyDescent="0.2">
      <c r="B4691" s="14" t="s">
        <v>8882</v>
      </c>
      <c r="C4691" s="14" t="s">
        <v>8883</v>
      </c>
      <c r="D4691" s="14">
        <v>1</v>
      </c>
      <c r="E4691" s="15">
        <v>78.069999999999993</v>
      </c>
      <c r="F4691" s="16" t="s">
        <v>4214</v>
      </c>
      <c r="G4691" s="38" t="str">
        <f>HYPERLINK("http://enext.ua/2124021")</f>
        <v>http://enext.ua/2124021</v>
      </c>
    </row>
    <row r="4692" spans="2:7" ht="11.25" outlineLevel="6" x14ac:dyDescent="0.2">
      <c r="B4692" s="14" t="s">
        <v>8884</v>
      </c>
      <c r="C4692" s="14" t="s">
        <v>8885</v>
      </c>
      <c r="D4692" s="14">
        <v>1</v>
      </c>
      <c r="E4692" s="15">
        <v>91.25</v>
      </c>
      <c r="F4692" s="16" t="s">
        <v>4214</v>
      </c>
      <c r="G4692" s="38" t="str">
        <f>HYPERLINK("http://enext.ua/2125031")</f>
        <v>http://enext.ua/2125031</v>
      </c>
    </row>
    <row r="4693" spans="2:7" ht="11.25" outlineLevel="6" x14ac:dyDescent="0.2">
      <c r="B4693" s="14" t="s">
        <v>8886</v>
      </c>
      <c r="C4693" s="14" t="s">
        <v>8887</v>
      </c>
      <c r="D4693" s="14">
        <v>1</v>
      </c>
      <c r="E4693" s="15">
        <v>135.61000000000001</v>
      </c>
      <c r="F4693" s="16" t="s">
        <v>4214</v>
      </c>
      <c r="G4693" s="38" t="str">
        <f>HYPERLINK("http://enext.ua/2126031")</f>
        <v>http://enext.ua/2126031</v>
      </c>
    </row>
    <row r="4694" spans="2:7" ht="11.25" outlineLevel="6" x14ac:dyDescent="0.2">
      <c r="B4694" s="14" t="s">
        <v>8888</v>
      </c>
      <c r="C4694" s="14" t="s">
        <v>8889</v>
      </c>
      <c r="D4694" s="14">
        <v>1</v>
      </c>
      <c r="E4694" s="15">
        <v>193.18</v>
      </c>
      <c r="F4694" s="16" t="s">
        <v>4214</v>
      </c>
      <c r="G4694" s="14"/>
    </row>
    <row r="4695" spans="2:7" ht="11.25" outlineLevel="6" x14ac:dyDescent="0.2">
      <c r="B4695" s="14" t="s">
        <v>8890</v>
      </c>
      <c r="C4695" s="14" t="s">
        <v>8891</v>
      </c>
      <c r="D4695" s="14">
        <v>1</v>
      </c>
      <c r="E4695" s="15">
        <v>34.799999999999997</v>
      </c>
      <c r="F4695" s="16" t="s">
        <v>4214</v>
      </c>
      <c r="G4695" s="38" t="str">
        <f>HYPERLINK("http://enext.ua/2121021")</f>
        <v>http://enext.ua/2121021</v>
      </c>
    </row>
    <row r="4696" spans="2:7" ht="11.25" outlineLevel="6" x14ac:dyDescent="0.2">
      <c r="B4696" s="14" t="s">
        <v>8892</v>
      </c>
      <c r="C4696" s="14" t="s">
        <v>8893</v>
      </c>
      <c r="D4696" s="14">
        <v>1</v>
      </c>
      <c r="E4696" s="15">
        <v>261.11</v>
      </c>
      <c r="F4696" s="16" t="s">
        <v>4214</v>
      </c>
      <c r="G4696" s="38" t="str">
        <f>HYPERLINK("http://enext.ua/2128041")</f>
        <v>http://enext.ua/2128041</v>
      </c>
    </row>
    <row r="4697" spans="2:7" ht="11.25" outlineLevel="6" x14ac:dyDescent="0.2">
      <c r="B4697" s="14" t="s">
        <v>8894</v>
      </c>
      <c r="C4697" s="14" t="s">
        <v>8895</v>
      </c>
      <c r="D4697" s="14">
        <v>1</v>
      </c>
      <c r="E4697" s="15">
        <v>306.74</v>
      </c>
      <c r="F4697" s="16" t="s">
        <v>4214</v>
      </c>
      <c r="G4697" s="38" t="str">
        <f>HYPERLINK("http://enext.ua/2129041")</f>
        <v>http://enext.ua/2129041</v>
      </c>
    </row>
    <row r="4698" spans="2:7" ht="11.25" outlineLevel="6" x14ac:dyDescent="0.2">
      <c r="B4698" s="14" t="s">
        <v>8896</v>
      </c>
      <c r="C4698" s="14" t="s">
        <v>8897</v>
      </c>
      <c r="D4698" s="14">
        <v>1</v>
      </c>
      <c r="E4698" s="15">
        <v>46.62</v>
      </c>
      <c r="F4698" s="16" t="s">
        <v>4214</v>
      </c>
      <c r="G4698" s="38" t="str">
        <f>HYPERLINK("http://enext.ua/2122021")</f>
        <v>http://enext.ua/2122021</v>
      </c>
    </row>
    <row r="4699" spans="2:7" ht="12" outlineLevel="4" x14ac:dyDescent="0.2">
      <c r="B4699" s="12"/>
      <c r="C4699" s="37" t="s">
        <v>8898</v>
      </c>
      <c r="D4699" s="12"/>
      <c r="E4699" s="13"/>
      <c r="F4699" s="13"/>
      <c r="G4699" s="12"/>
    </row>
    <row r="4700" spans="2:7" ht="12" outlineLevel="5" x14ac:dyDescent="0.2">
      <c r="B4700" s="18"/>
      <c r="C4700" s="39" t="s">
        <v>8899</v>
      </c>
      <c r="D4700" s="18"/>
      <c r="E4700" s="19"/>
      <c r="F4700" s="19"/>
      <c r="G4700" s="18"/>
    </row>
    <row r="4701" spans="2:7" ht="12" outlineLevel="6" x14ac:dyDescent="0.2">
      <c r="B4701" s="18"/>
      <c r="C4701" s="39" t="s">
        <v>8900</v>
      </c>
      <c r="D4701" s="18"/>
      <c r="E4701" s="19"/>
      <c r="F4701" s="19"/>
      <c r="G4701" s="18"/>
    </row>
    <row r="4702" spans="2:7" ht="11.25" outlineLevel="7" x14ac:dyDescent="0.2">
      <c r="B4702" s="14" t="s">
        <v>8901</v>
      </c>
      <c r="C4702" s="14" t="s">
        <v>8902</v>
      </c>
      <c r="D4702" s="14">
        <v>1</v>
      </c>
      <c r="E4702" s="15">
        <v>111.37</v>
      </c>
      <c r="F4702" s="16" t="s">
        <v>8</v>
      </c>
      <c r="G4702" s="14"/>
    </row>
    <row r="4703" spans="2:7" ht="11.25" outlineLevel="7" x14ac:dyDescent="0.2">
      <c r="B4703" s="14" t="s">
        <v>8903</v>
      </c>
      <c r="C4703" s="14" t="s">
        <v>8904</v>
      </c>
      <c r="D4703" s="14">
        <v>1</v>
      </c>
      <c r="E4703" s="15">
        <v>133.21</v>
      </c>
      <c r="F4703" s="16" t="s">
        <v>8</v>
      </c>
      <c r="G4703" s="14"/>
    </row>
    <row r="4704" spans="2:7" ht="11.25" outlineLevel="7" x14ac:dyDescent="0.2">
      <c r="B4704" s="14" t="s">
        <v>8905</v>
      </c>
      <c r="C4704" s="14" t="s">
        <v>8906</v>
      </c>
      <c r="D4704" s="14">
        <v>1</v>
      </c>
      <c r="E4704" s="15">
        <v>165.56</v>
      </c>
      <c r="F4704" s="16" t="s">
        <v>8</v>
      </c>
      <c r="G4704" s="14"/>
    </row>
    <row r="4705" spans="2:7" ht="11.25" outlineLevel="7" x14ac:dyDescent="0.2">
      <c r="B4705" s="14" t="s">
        <v>8907</v>
      </c>
      <c r="C4705" s="14" t="s">
        <v>8908</v>
      </c>
      <c r="D4705" s="14">
        <v>1</v>
      </c>
      <c r="E4705" s="15">
        <v>220.9</v>
      </c>
      <c r="F4705" s="16" t="s">
        <v>8</v>
      </c>
      <c r="G4705" s="14"/>
    </row>
    <row r="4706" spans="2:7" ht="11.25" outlineLevel="7" x14ac:dyDescent="0.2">
      <c r="B4706" s="14" t="s">
        <v>8909</v>
      </c>
      <c r="C4706" s="14" t="s">
        <v>8910</v>
      </c>
      <c r="D4706" s="14">
        <v>1</v>
      </c>
      <c r="E4706" s="15">
        <v>99.06</v>
      </c>
      <c r="F4706" s="16" t="s">
        <v>8</v>
      </c>
      <c r="G4706" s="14"/>
    </row>
    <row r="4707" spans="2:7" ht="11.25" outlineLevel="7" x14ac:dyDescent="0.2">
      <c r="B4707" s="14" t="s">
        <v>8911</v>
      </c>
      <c r="C4707" s="14" t="s">
        <v>8912</v>
      </c>
      <c r="D4707" s="14">
        <v>1</v>
      </c>
      <c r="E4707" s="15">
        <v>107.71</v>
      </c>
      <c r="F4707" s="16" t="s">
        <v>8</v>
      </c>
      <c r="G4707" s="14"/>
    </row>
    <row r="4708" spans="2:7" ht="12" outlineLevel="6" x14ac:dyDescent="0.2">
      <c r="B4708" s="18"/>
      <c r="C4708" s="39" t="s">
        <v>8913</v>
      </c>
      <c r="D4708" s="18"/>
      <c r="E4708" s="19"/>
      <c r="F4708" s="19"/>
      <c r="G4708" s="18"/>
    </row>
    <row r="4709" spans="2:7" ht="11.25" outlineLevel="7" x14ac:dyDescent="0.2">
      <c r="B4709" s="14" t="s">
        <v>8914</v>
      </c>
      <c r="C4709" s="14" t="s">
        <v>8915</v>
      </c>
      <c r="D4709" s="14">
        <v>1</v>
      </c>
      <c r="E4709" s="15">
        <v>133.78</v>
      </c>
      <c r="F4709" s="16" t="s">
        <v>8</v>
      </c>
      <c r="G4709" s="38" t="str">
        <f>HYPERLINK("http://enext.ua/2213230")</f>
        <v>http://enext.ua/2213230</v>
      </c>
    </row>
    <row r="4710" spans="2:7" ht="11.25" outlineLevel="7" x14ac:dyDescent="0.2">
      <c r="B4710" s="14" t="s">
        <v>8916</v>
      </c>
      <c r="C4710" s="14" t="s">
        <v>8917</v>
      </c>
      <c r="D4710" s="14">
        <v>1</v>
      </c>
      <c r="E4710" s="15">
        <v>168.62</v>
      </c>
      <c r="F4710" s="16" t="s">
        <v>8</v>
      </c>
      <c r="G4710" s="38" t="str">
        <f>HYPERLINK("http://enext.ua/2214230")</f>
        <v>http://enext.ua/2214230</v>
      </c>
    </row>
    <row r="4711" spans="2:7" ht="11.25" outlineLevel="7" x14ac:dyDescent="0.2">
      <c r="B4711" s="14" t="s">
        <v>8918</v>
      </c>
      <c r="C4711" s="14" t="s">
        <v>8919</v>
      </c>
      <c r="D4711" s="14">
        <v>1</v>
      </c>
      <c r="E4711" s="15">
        <v>192.66</v>
      </c>
      <c r="F4711" s="16" t="s">
        <v>8</v>
      </c>
      <c r="G4711" s="38" t="str">
        <f>HYPERLINK("http://enext.ua/2215230")</f>
        <v>http://enext.ua/2215230</v>
      </c>
    </row>
    <row r="4712" spans="2:7" ht="11.25" outlineLevel="7" x14ac:dyDescent="0.2">
      <c r="B4712" s="14" t="s">
        <v>8920</v>
      </c>
      <c r="C4712" s="14" t="s">
        <v>8921</v>
      </c>
      <c r="D4712" s="14">
        <v>1</v>
      </c>
      <c r="E4712" s="15">
        <v>328.87</v>
      </c>
      <c r="F4712" s="16" t="s">
        <v>4214</v>
      </c>
      <c r="G4712" s="38" t="str">
        <f>HYPERLINK("http://enext.ua/2216230")</f>
        <v>http://enext.ua/2216230</v>
      </c>
    </row>
    <row r="4713" spans="2:7" ht="11.25" outlineLevel="7" x14ac:dyDescent="0.2">
      <c r="B4713" s="14" t="s">
        <v>8922</v>
      </c>
      <c r="C4713" s="14" t="s">
        <v>8923</v>
      </c>
      <c r="D4713" s="14">
        <v>1</v>
      </c>
      <c r="E4713" s="15">
        <v>449.71</v>
      </c>
      <c r="F4713" s="16" t="s">
        <v>8</v>
      </c>
      <c r="G4713" s="38" t="str">
        <f>HYPERLINK("http://enext.ua/2217230")</f>
        <v>http://enext.ua/2217230</v>
      </c>
    </row>
    <row r="4714" spans="2:7" ht="11.25" outlineLevel="7" x14ac:dyDescent="0.2">
      <c r="B4714" s="14" t="s">
        <v>8924</v>
      </c>
      <c r="C4714" s="14" t="s">
        <v>8925</v>
      </c>
      <c r="D4714" s="14">
        <v>1</v>
      </c>
      <c r="E4714" s="15">
        <v>541.01</v>
      </c>
      <c r="F4714" s="16" t="s">
        <v>8</v>
      </c>
      <c r="G4714" s="38" t="str">
        <f>HYPERLINK("http://enext.ua/2218230")</f>
        <v>http://enext.ua/2218230</v>
      </c>
    </row>
    <row r="4715" spans="2:7" ht="11.25" outlineLevel="7" x14ac:dyDescent="0.2">
      <c r="B4715" s="14" t="s">
        <v>8926</v>
      </c>
      <c r="C4715" s="14" t="s">
        <v>8927</v>
      </c>
      <c r="D4715" s="14">
        <v>1</v>
      </c>
      <c r="E4715" s="15">
        <v>105.22</v>
      </c>
      <c r="F4715" s="16" t="s">
        <v>8</v>
      </c>
      <c r="G4715" s="38" t="str">
        <f>HYPERLINK("http://enext.ua/2211230")</f>
        <v>http://enext.ua/2211230</v>
      </c>
    </row>
    <row r="4716" spans="2:7" ht="11.25" outlineLevel="7" x14ac:dyDescent="0.2">
      <c r="B4716" s="14" t="s">
        <v>8928</v>
      </c>
      <c r="C4716" s="14" t="s">
        <v>8929</v>
      </c>
      <c r="D4716" s="14">
        <v>1</v>
      </c>
      <c r="E4716" s="15">
        <v>715.31</v>
      </c>
      <c r="F4716" s="16" t="s">
        <v>8</v>
      </c>
      <c r="G4716" s="14"/>
    </row>
    <row r="4717" spans="2:7" ht="12" outlineLevel="6" x14ac:dyDescent="0.2">
      <c r="B4717" s="18"/>
      <c r="C4717" s="39" t="s">
        <v>8930</v>
      </c>
      <c r="D4717" s="18"/>
      <c r="E4717" s="19"/>
      <c r="F4717" s="19"/>
      <c r="G4717" s="18"/>
    </row>
    <row r="4718" spans="2:7" ht="11.25" outlineLevel="7" x14ac:dyDescent="0.2">
      <c r="B4718" s="14" t="s">
        <v>8931</v>
      </c>
      <c r="C4718" s="14" t="s">
        <v>8932</v>
      </c>
      <c r="D4718" s="14">
        <v>1</v>
      </c>
      <c r="E4718" s="15">
        <v>148.87</v>
      </c>
      <c r="F4718" s="16" t="s">
        <v>8</v>
      </c>
      <c r="G4718" s="38" t="str">
        <f>HYPERLINK("http://enext.ua/2213330")</f>
        <v>http://enext.ua/2213330</v>
      </c>
    </row>
    <row r="4719" spans="2:7" ht="11.25" outlineLevel="7" x14ac:dyDescent="0.2">
      <c r="B4719" s="14" t="s">
        <v>8933</v>
      </c>
      <c r="C4719" s="14" t="s">
        <v>8934</v>
      </c>
      <c r="D4719" s="14">
        <v>1</v>
      </c>
      <c r="E4719" s="15">
        <v>187.68</v>
      </c>
      <c r="F4719" s="16" t="s">
        <v>8</v>
      </c>
      <c r="G4719" s="38" t="str">
        <f>HYPERLINK("http://enext.ua/2214330")</f>
        <v>http://enext.ua/2214330</v>
      </c>
    </row>
    <row r="4720" spans="2:7" ht="11.25" outlineLevel="7" x14ac:dyDescent="0.2">
      <c r="B4720" s="14" t="s">
        <v>8935</v>
      </c>
      <c r="C4720" s="14" t="s">
        <v>8936</v>
      </c>
      <c r="D4720" s="14">
        <v>1</v>
      </c>
      <c r="E4720" s="15">
        <v>219.16</v>
      </c>
      <c r="F4720" s="16" t="s">
        <v>8</v>
      </c>
      <c r="G4720" s="38" t="str">
        <f>HYPERLINK("http://enext.ua/2215330")</f>
        <v>http://enext.ua/2215330</v>
      </c>
    </row>
    <row r="4721" spans="2:7" ht="11.25" outlineLevel="7" x14ac:dyDescent="0.2">
      <c r="B4721" s="14" t="s">
        <v>8937</v>
      </c>
      <c r="C4721" s="14" t="s">
        <v>8938</v>
      </c>
      <c r="D4721" s="14">
        <v>1</v>
      </c>
      <c r="E4721" s="15">
        <v>351.72</v>
      </c>
      <c r="F4721" s="16" t="s">
        <v>8</v>
      </c>
      <c r="G4721" s="38" t="str">
        <f>HYPERLINK("http://enext.ua/2216330")</f>
        <v>http://enext.ua/2216330</v>
      </c>
    </row>
    <row r="4722" spans="2:7" ht="11.25" outlineLevel="7" x14ac:dyDescent="0.2">
      <c r="B4722" s="14" t="s">
        <v>8939</v>
      </c>
      <c r="C4722" s="14" t="s">
        <v>8940</v>
      </c>
      <c r="D4722" s="14">
        <v>1</v>
      </c>
      <c r="E4722" s="15">
        <v>467.18</v>
      </c>
      <c r="F4722" s="16" t="s">
        <v>8</v>
      </c>
      <c r="G4722" s="38" t="str">
        <f>HYPERLINK("http://enext.ua/2217330")</f>
        <v>http://enext.ua/2217330</v>
      </c>
    </row>
    <row r="4723" spans="2:7" ht="11.25" outlineLevel="7" x14ac:dyDescent="0.2">
      <c r="B4723" s="14" t="s">
        <v>8941</v>
      </c>
      <c r="C4723" s="14" t="s">
        <v>8942</v>
      </c>
      <c r="D4723" s="14">
        <v>1</v>
      </c>
      <c r="E4723" s="15">
        <v>560.1</v>
      </c>
      <c r="F4723" s="16" t="s">
        <v>8</v>
      </c>
      <c r="G4723" s="14"/>
    </row>
    <row r="4724" spans="2:7" ht="11.25" outlineLevel="7" x14ac:dyDescent="0.2">
      <c r="B4724" s="14" t="s">
        <v>8943</v>
      </c>
      <c r="C4724" s="14" t="s">
        <v>8944</v>
      </c>
      <c r="D4724" s="14">
        <v>1</v>
      </c>
      <c r="E4724" s="15">
        <v>732.06</v>
      </c>
      <c r="F4724" s="16" t="s">
        <v>8</v>
      </c>
      <c r="G4724" s="14"/>
    </row>
    <row r="4725" spans="2:7" ht="11.25" outlineLevel="7" x14ac:dyDescent="0.2">
      <c r="B4725" s="14" t="s">
        <v>8945</v>
      </c>
      <c r="C4725" s="14" t="s">
        <v>8946</v>
      </c>
      <c r="D4725" s="14">
        <v>1</v>
      </c>
      <c r="E4725" s="15">
        <v>138.68</v>
      </c>
      <c r="F4725" s="16" t="s">
        <v>8</v>
      </c>
      <c r="G4725" s="38" t="str">
        <f>HYPERLINK("http://enext.ua/2212330")</f>
        <v>http://enext.ua/2212330</v>
      </c>
    </row>
    <row r="4726" spans="2:7" ht="12" outlineLevel="6" x14ac:dyDescent="0.2">
      <c r="B4726" s="18"/>
      <c r="C4726" s="39" t="s">
        <v>8947</v>
      </c>
      <c r="D4726" s="18"/>
      <c r="E4726" s="19"/>
      <c r="F4726" s="19"/>
      <c r="G4726" s="18"/>
    </row>
    <row r="4727" spans="2:7" ht="11.25" outlineLevel="7" x14ac:dyDescent="0.2">
      <c r="B4727" s="14" t="s">
        <v>8948</v>
      </c>
      <c r="C4727" s="14" t="s">
        <v>8949</v>
      </c>
      <c r="D4727" s="14">
        <v>1</v>
      </c>
      <c r="E4727" s="15">
        <v>151.85</v>
      </c>
      <c r="F4727" s="16" t="s">
        <v>8</v>
      </c>
      <c r="G4727" s="38" t="str">
        <f>HYPERLINK("http://enext.ua/2213430")</f>
        <v>http://enext.ua/2213430</v>
      </c>
    </row>
    <row r="4728" spans="2:7" ht="11.25" outlineLevel="7" x14ac:dyDescent="0.2">
      <c r="B4728" s="14" t="s">
        <v>8950</v>
      </c>
      <c r="C4728" s="14" t="s">
        <v>8951</v>
      </c>
      <c r="D4728" s="14">
        <v>1</v>
      </c>
      <c r="E4728" s="15">
        <v>191.38</v>
      </c>
      <c r="F4728" s="16" t="s">
        <v>8</v>
      </c>
      <c r="G4728" s="38" t="str">
        <f>HYPERLINK("http://enext.ua/2214430")</f>
        <v>http://enext.ua/2214430</v>
      </c>
    </row>
    <row r="4729" spans="2:7" ht="11.25" outlineLevel="7" x14ac:dyDescent="0.2">
      <c r="B4729" s="14" t="s">
        <v>8952</v>
      </c>
      <c r="C4729" s="14" t="s">
        <v>8953</v>
      </c>
      <c r="D4729" s="14">
        <v>1</v>
      </c>
      <c r="E4729" s="15">
        <v>225.44</v>
      </c>
      <c r="F4729" s="16" t="s">
        <v>8</v>
      </c>
      <c r="G4729" s="38" t="str">
        <f>HYPERLINK("http://enext.ua/2215430")</f>
        <v>http://enext.ua/2215430</v>
      </c>
    </row>
    <row r="4730" spans="2:7" ht="11.25" outlineLevel="7" x14ac:dyDescent="0.2">
      <c r="B4730" s="14" t="s">
        <v>8954</v>
      </c>
      <c r="C4730" s="14" t="s">
        <v>8955</v>
      </c>
      <c r="D4730" s="14">
        <v>1</v>
      </c>
      <c r="E4730" s="15">
        <v>352.86</v>
      </c>
      <c r="F4730" s="16" t="s">
        <v>8</v>
      </c>
      <c r="G4730" s="38" t="str">
        <f>HYPERLINK("http://enext.ua/2216430")</f>
        <v>http://enext.ua/2216430</v>
      </c>
    </row>
    <row r="4731" spans="2:7" ht="11.25" outlineLevel="7" x14ac:dyDescent="0.2">
      <c r="B4731" s="14" t="s">
        <v>8956</v>
      </c>
      <c r="C4731" s="14" t="s">
        <v>8957</v>
      </c>
      <c r="D4731" s="14">
        <v>1</v>
      </c>
      <c r="E4731" s="15">
        <v>471.06</v>
      </c>
      <c r="F4731" s="16" t="s">
        <v>8</v>
      </c>
      <c r="G4731" s="38" t="str">
        <f>HYPERLINK("http://enext.ua/2217430")</f>
        <v>http://enext.ua/2217430</v>
      </c>
    </row>
    <row r="4732" spans="2:7" ht="11.25" outlineLevel="7" x14ac:dyDescent="0.2">
      <c r="B4732" s="14" t="s">
        <v>8958</v>
      </c>
      <c r="C4732" s="14" t="s">
        <v>8959</v>
      </c>
      <c r="D4732" s="14">
        <v>1</v>
      </c>
      <c r="E4732" s="15">
        <v>606.98</v>
      </c>
      <c r="F4732" s="16" t="s">
        <v>8</v>
      </c>
      <c r="G4732" s="14"/>
    </row>
    <row r="4733" spans="2:7" ht="11.25" outlineLevel="7" x14ac:dyDescent="0.2">
      <c r="B4733" s="14" t="s">
        <v>8960</v>
      </c>
      <c r="C4733" s="14" t="s">
        <v>8961</v>
      </c>
      <c r="D4733" s="14">
        <v>1</v>
      </c>
      <c r="E4733" s="15">
        <v>760.04</v>
      </c>
      <c r="F4733" s="16" t="s">
        <v>8</v>
      </c>
      <c r="G4733" s="14"/>
    </row>
    <row r="4734" spans="2:7" ht="12" outlineLevel="6" x14ac:dyDescent="0.2">
      <c r="B4734" s="18"/>
      <c r="C4734" s="39" t="s">
        <v>8962</v>
      </c>
      <c r="D4734" s="18"/>
      <c r="E4734" s="19"/>
      <c r="F4734" s="19"/>
      <c r="G4734" s="18"/>
    </row>
    <row r="4735" spans="2:7" ht="11.25" outlineLevel="7" x14ac:dyDescent="0.2">
      <c r="B4735" s="14" t="s">
        <v>8963</v>
      </c>
      <c r="C4735" s="14" t="s">
        <v>8964</v>
      </c>
      <c r="D4735" s="14">
        <v>1</v>
      </c>
      <c r="E4735" s="15">
        <v>66.52</v>
      </c>
      <c r="F4735" s="16" t="s">
        <v>8</v>
      </c>
      <c r="G4735" s="38" t="str">
        <f>HYPERLINK("http://enext.ua/2213031")</f>
        <v>http://enext.ua/2213031</v>
      </c>
    </row>
    <row r="4736" spans="2:7" ht="11.25" outlineLevel="7" x14ac:dyDescent="0.2">
      <c r="B4736" s="14" t="s">
        <v>8965</v>
      </c>
      <c r="C4736" s="14" t="s">
        <v>8966</v>
      </c>
      <c r="D4736" s="14">
        <v>1</v>
      </c>
      <c r="E4736" s="15">
        <v>88</v>
      </c>
      <c r="F4736" s="16" t="s">
        <v>8</v>
      </c>
      <c r="G4736" s="38" t="str">
        <f>HYPERLINK("http://enext.ua/2214031")</f>
        <v>http://enext.ua/2214031</v>
      </c>
    </row>
    <row r="4737" spans="2:7" ht="11.25" outlineLevel="7" x14ac:dyDescent="0.2">
      <c r="B4737" s="14" t="s">
        <v>8967</v>
      </c>
      <c r="C4737" s="14" t="s">
        <v>8968</v>
      </c>
      <c r="D4737" s="14">
        <v>1</v>
      </c>
      <c r="E4737" s="15">
        <v>112.55</v>
      </c>
      <c r="F4737" s="16" t="s">
        <v>8</v>
      </c>
      <c r="G4737" s="38" t="str">
        <f>HYPERLINK("http://enext.ua/2215031")</f>
        <v>http://enext.ua/2215031</v>
      </c>
    </row>
    <row r="4738" spans="2:7" ht="11.25" outlineLevel="7" x14ac:dyDescent="0.2">
      <c r="B4738" s="14" t="s">
        <v>8969</v>
      </c>
      <c r="C4738" s="14" t="s">
        <v>8970</v>
      </c>
      <c r="D4738" s="14">
        <v>1</v>
      </c>
      <c r="E4738" s="15">
        <v>182.27</v>
      </c>
      <c r="F4738" s="16" t="s">
        <v>8</v>
      </c>
      <c r="G4738" s="38" t="str">
        <f>HYPERLINK("http://enext.ua/2216031")</f>
        <v>http://enext.ua/2216031</v>
      </c>
    </row>
    <row r="4739" spans="2:7" ht="11.25" outlineLevel="7" x14ac:dyDescent="0.2">
      <c r="B4739" s="14" t="s">
        <v>8971</v>
      </c>
      <c r="C4739" s="14" t="s">
        <v>8972</v>
      </c>
      <c r="D4739" s="14">
        <v>1</v>
      </c>
      <c r="E4739" s="15">
        <v>255.25</v>
      </c>
      <c r="F4739" s="16" t="s">
        <v>8</v>
      </c>
      <c r="G4739" s="38" t="str">
        <f>HYPERLINK("http://enext.ua/2217031")</f>
        <v>http://enext.ua/2217031</v>
      </c>
    </row>
    <row r="4740" spans="2:7" ht="11.25" outlineLevel="7" x14ac:dyDescent="0.2">
      <c r="B4740" s="14" t="s">
        <v>8973</v>
      </c>
      <c r="C4740" s="14" t="s">
        <v>8974</v>
      </c>
      <c r="D4740" s="14">
        <v>1</v>
      </c>
      <c r="E4740" s="15">
        <v>56.93</v>
      </c>
      <c r="F4740" s="16" t="s">
        <v>8</v>
      </c>
      <c r="G4740" s="38" t="str">
        <f>HYPERLINK("http://enext.ua/2211031")</f>
        <v>http://enext.ua/2211031</v>
      </c>
    </row>
    <row r="4741" spans="2:7" ht="11.25" outlineLevel="7" x14ac:dyDescent="0.2">
      <c r="B4741" s="14" t="s">
        <v>8975</v>
      </c>
      <c r="C4741" s="14" t="s">
        <v>8976</v>
      </c>
      <c r="D4741" s="14">
        <v>1</v>
      </c>
      <c r="E4741" s="15">
        <v>361</v>
      </c>
      <c r="F4741" s="16" t="s">
        <v>8</v>
      </c>
      <c r="G4741" s="14"/>
    </row>
    <row r="4742" spans="2:7" ht="11.25" outlineLevel="7" x14ac:dyDescent="0.2">
      <c r="B4742" s="14" t="s">
        <v>8977</v>
      </c>
      <c r="C4742" s="14" t="s">
        <v>8978</v>
      </c>
      <c r="D4742" s="14">
        <v>1</v>
      </c>
      <c r="E4742" s="15">
        <v>472.03</v>
      </c>
      <c r="F4742" s="16" t="s">
        <v>8</v>
      </c>
      <c r="G4742" s="14"/>
    </row>
    <row r="4743" spans="2:7" ht="11.25" outlineLevel="7" x14ac:dyDescent="0.2">
      <c r="B4743" s="14" t="s">
        <v>8979</v>
      </c>
      <c r="C4743" s="14" t="s">
        <v>8980</v>
      </c>
      <c r="D4743" s="14">
        <v>1</v>
      </c>
      <c r="E4743" s="15">
        <v>64.19</v>
      </c>
      <c r="F4743" s="16" t="s">
        <v>8</v>
      </c>
      <c r="G4743" s="38" t="str">
        <f>HYPERLINK("http://enext.ua/2212031")</f>
        <v>http://enext.ua/2212031</v>
      </c>
    </row>
    <row r="4744" spans="2:7" ht="12" outlineLevel="5" x14ac:dyDescent="0.2">
      <c r="B4744" s="18"/>
      <c r="C4744" s="39" t="s">
        <v>8981</v>
      </c>
      <c r="D4744" s="18"/>
      <c r="E4744" s="19"/>
      <c r="F4744" s="19"/>
      <c r="G4744" s="18"/>
    </row>
    <row r="4745" spans="2:7" ht="12" outlineLevel="6" x14ac:dyDescent="0.2">
      <c r="B4745" s="18"/>
      <c r="C4745" s="39" t="s">
        <v>8982</v>
      </c>
      <c r="D4745" s="18"/>
      <c r="E4745" s="19"/>
      <c r="F4745" s="19"/>
      <c r="G4745" s="18"/>
    </row>
    <row r="4746" spans="2:7" ht="11.25" outlineLevel="7" x14ac:dyDescent="0.2">
      <c r="B4746" s="14" t="s">
        <v>8983</v>
      </c>
      <c r="C4746" s="14" t="s">
        <v>8984</v>
      </c>
      <c r="D4746" s="14">
        <v>1</v>
      </c>
      <c r="E4746" s="15">
        <v>117.43</v>
      </c>
      <c r="F4746" s="16" t="s">
        <v>8</v>
      </c>
      <c r="G4746" s="14"/>
    </row>
    <row r="4747" spans="2:7" ht="11.25" outlineLevel="7" x14ac:dyDescent="0.2">
      <c r="B4747" s="14" t="s">
        <v>8985</v>
      </c>
      <c r="C4747" s="14" t="s">
        <v>8986</v>
      </c>
      <c r="D4747" s="14">
        <v>1</v>
      </c>
      <c r="E4747" s="15">
        <v>135.28</v>
      </c>
      <c r="F4747" s="16" t="s">
        <v>8</v>
      </c>
      <c r="G4747" s="14"/>
    </row>
    <row r="4748" spans="2:7" ht="11.25" outlineLevel="7" x14ac:dyDescent="0.2">
      <c r="B4748" s="14" t="s">
        <v>8987</v>
      </c>
      <c r="C4748" s="14" t="s">
        <v>8988</v>
      </c>
      <c r="D4748" s="14">
        <v>1</v>
      </c>
      <c r="E4748" s="15">
        <v>166.76</v>
      </c>
      <c r="F4748" s="16" t="s">
        <v>8</v>
      </c>
      <c r="G4748" s="14"/>
    </row>
    <row r="4749" spans="2:7" ht="11.25" outlineLevel="7" x14ac:dyDescent="0.2">
      <c r="B4749" s="14" t="s">
        <v>8989</v>
      </c>
      <c r="C4749" s="14" t="s">
        <v>8990</v>
      </c>
      <c r="D4749" s="14">
        <v>1</v>
      </c>
      <c r="E4749" s="15">
        <v>222.8</v>
      </c>
      <c r="F4749" s="16" t="s">
        <v>8</v>
      </c>
      <c r="G4749" s="14"/>
    </row>
    <row r="4750" spans="2:7" ht="11.25" outlineLevel="7" x14ac:dyDescent="0.2">
      <c r="B4750" s="14" t="s">
        <v>8991</v>
      </c>
      <c r="C4750" s="14" t="s">
        <v>8992</v>
      </c>
      <c r="D4750" s="14">
        <v>1</v>
      </c>
      <c r="E4750" s="15">
        <v>99.56</v>
      </c>
      <c r="F4750" s="16" t="s">
        <v>8</v>
      </c>
      <c r="G4750" s="14"/>
    </row>
    <row r="4751" spans="2:7" ht="11.25" outlineLevel="7" x14ac:dyDescent="0.2">
      <c r="B4751" s="14" t="s">
        <v>8993</v>
      </c>
      <c r="C4751" s="14" t="s">
        <v>8994</v>
      </c>
      <c r="D4751" s="14">
        <v>1</v>
      </c>
      <c r="E4751" s="15">
        <v>109.91</v>
      </c>
      <c r="F4751" s="16" t="s">
        <v>8</v>
      </c>
      <c r="G4751" s="14"/>
    </row>
    <row r="4752" spans="2:7" ht="12" outlineLevel="6" x14ac:dyDescent="0.2">
      <c r="B4752" s="18"/>
      <c r="C4752" s="39" t="s">
        <v>8995</v>
      </c>
      <c r="D4752" s="18"/>
      <c r="E4752" s="19"/>
      <c r="F4752" s="19"/>
      <c r="G4752" s="18"/>
    </row>
    <row r="4753" spans="2:7" ht="11.25" outlineLevel="7" x14ac:dyDescent="0.2">
      <c r="B4753" s="14" t="s">
        <v>8996</v>
      </c>
      <c r="C4753" s="14" t="s">
        <v>8997</v>
      </c>
      <c r="D4753" s="14">
        <v>1</v>
      </c>
      <c r="E4753" s="15">
        <v>154.93</v>
      </c>
      <c r="F4753" s="16" t="s">
        <v>8</v>
      </c>
      <c r="G4753" s="38" t="str">
        <f>HYPERLINK("http://enext.ua/2223230")</f>
        <v>http://enext.ua/2223230</v>
      </c>
    </row>
    <row r="4754" spans="2:7" ht="11.25" outlineLevel="7" x14ac:dyDescent="0.2">
      <c r="B4754" s="14" t="s">
        <v>8998</v>
      </c>
      <c r="C4754" s="14" t="s">
        <v>8999</v>
      </c>
      <c r="D4754" s="14">
        <v>1</v>
      </c>
      <c r="E4754" s="15">
        <v>184.87</v>
      </c>
      <c r="F4754" s="16" t="s">
        <v>8</v>
      </c>
      <c r="G4754" s="38" t="str">
        <f>HYPERLINK("http://enext.ua/2224230")</f>
        <v>http://enext.ua/2224230</v>
      </c>
    </row>
    <row r="4755" spans="2:7" ht="11.25" outlineLevel="7" x14ac:dyDescent="0.2">
      <c r="B4755" s="14" t="s">
        <v>9000</v>
      </c>
      <c r="C4755" s="14" t="s">
        <v>9001</v>
      </c>
      <c r="D4755" s="14">
        <v>1</v>
      </c>
      <c r="E4755" s="15">
        <v>215.68</v>
      </c>
      <c r="F4755" s="16" t="s">
        <v>8</v>
      </c>
      <c r="G4755" s="38" t="str">
        <f>HYPERLINK("http://enext.ua/2225230")</f>
        <v>http://enext.ua/2225230</v>
      </c>
    </row>
    <row r="4756" spans="2:7" ht="11.25" outlineLevel="7" x14ac:dyDescent="0.2">
      <c r="B4756" s="14" t="s">
        <v>9002</v>
      </c>
      <c r="C4756" s="14" t="s">
        <v>9003</v>
      </c>
      <c r="D4756" s="14">
        <v>1</v>
      </c>
      <c r="E4756" s="15">
        <v>325.54000000000002</v>
      </c>
      <c r="F4756" s="16" t="s">
        <v>8</v>
      </c>
      <c r="G4756" s="38" t="str">
        <f>HYPERLINK("http://enext.ua/2226230")</f>
        <v>http://enext.ua/2226230</v>
      </c>
    </row>
    <row r="4757" spans="2:7" ht="11.25" outlineLevel="7" x14ac:dyDescent="0.2">
      <c r="B4757" s="14" t="s">
        <v>9004</v>
      </c>
      <c r="C4757" s="14" t="s">
        <v>9005</v>
      </c>
      <c r="D4757" s="14">
        <v>1</v>
      </c>
      <c r="E4757" s="15">
        <v>452.81</v>
      </c>
      <c r="F4757" s="16" t="s">
        <v>8</v>
      </c>
      <c r="G4757" s="14"/>
    </row>
    <row r="4758" spans="2:7" ht="11.25" outlineLevel="7" x14ac:dyDescent="0.2">
      <c r="B4758" s="14" t="s">
        <v>9006</v>
      </c>
      <c r="C4758" s="14" t="s">
        <v>9007</v>
      </c>
      <c r="D4758" s="14">
        <v>1</v>
      </c>
      <c r="E4758" s="15">
        <v>534.76</v>
      </c>
      <c r="F4758" s="16" t="s">
        <v>8</v>
      </c>
      <c r="G4758" s="14"/>
    </row>
    <row r="4759" spans="2:7" ht="11.25" outlineLevel="7" x14ac:dyDescent="0.2">
      <c r="B4759" s="14" t="s">
        <v>9008</v>
      </c>
      <c r="C4759" s="14" t="s">
        <v>9009</v>
      </c>
      <c r="D4759" s="14">
        <v>1</v>
      </c>
      <c r="E4759" s="15">
        <v>122.21</v>
      </c>
      <c r="F4759" s="16" t="s">
        <v>8</v>
      </c>
      <c r="G4759" s="14"/>
    </row>
    <row r="4760" spans="2:7" ht="11.25" outlineLevel="7" x14ac:dyDescent="0.2">
      <c r="B4760" s="14" t="s">
        <v>9010</v>
      </c>
      <c r="C4760" s="14" t="s">
        <v>9011</v>
      </c>
      <c r="D4760" s="14">
        <v>1</v>
      </c>
      <c r="E4760" s="15">
        <v>655.56</v>
      </c>
      <c r="F4760" s="16" t="s">
        <v>8</v>
      </c>
      <c r="G4760" s="14"/>
    </row>
    <row r="4761" spans="2:7" ht="12" outlineLevel="6" x14ac:dyDescent="0.2">
      <c r="B4761" s="18"/>
      <c r="C4761" s="39" t="s">
        <v>9012</v>
      </c>
      <c r="D4761" s="18"/>
      <c r="E4761" s="19"/>
      <c r="F4761" s="19"/>
      <c r="G4761" s="18"/>
    </row>
    <row r="4762" spans="2:7" ht="11.25" outlineLevel="7" x14ac:dyDescent="0.2">
      <c r="B4762" s="14" t="s">
        <v>9013</v>
      </c>
      <c r="C4762" s="14" t="s">
        <v>9014</v>
      </c>
      <c r="D4762" s="14">
        <v>1</v>
      </c>
      <c r="E4762" s="15">
        <v>158.77000000000001</v>
      </c>
      <c r="F4762" s="16" t="s">
        <v>8</v>
      </c>
      <c r="G4762" s="14"/>
    </row>
    <row r="4763" spans="2:7" ht="11.25" outlineLevel="7" x14ac:dyDescent="0.2">
      <c r="B4763" s="14" t="s">
        <v>9015</v>
      </c>
      <c r="C4763" s="14" t="s">
        <v>9016</v>
      </c>
      <c r="D4763" s="14">
        <v>1</v>
      </c>
      <c r="E4763" s="15">
        <v>189.23</v>
      </c>
      <c r="F4763" s="16" t="s">
        <v>8</v>
      </c>
      <c r="G4763" s="14"/>
    </row>
    <row r="4764" spans="2:7" ht="11.25" outlineLevel="7" x14ac:dyDescent="0.2">
      <c r="B4764" s="14" t="s">
        <v>9017</v>
      </c>
      <c r="C4764" s="14" t="s">
        <v>9018</v>
      </c>
      <c r="D4764" s="14">
        <v>1</v>
      </c>
      <c r="E4764" s="15">
        <v>220.7</v>
      </c>
      <c r="F4764" s="16" t="s">
        <v>8</v>
      </c>
      <c r="G4764" s="14"/>
    </row>
    <row r="4765" spans="2:7" ht="11.25" outlineLevel="7" x14ac:dyDescent="0.2">
      <c r="B4765" s="14" t="s">
        <v>9019</v>
      </c>
      <c r="C4765" s="14" t="s">
        <v>9020</v>
      </c>
      <c r="D4765" s="14">
        <v>1</v>
      </c>
      <c r="E4765" s="15">
        <v>314.74</v>
      </c>
      <c r="F4765" s="16" t="s">
        <v>8</v>
      </c>
      <c r="G4765" s="14"/>
    </row>
    <row r="4766" spans="2:7" ht="11.25" outlineLevel="7" x14ac:dyDescent="0.2">
      <c r="B4766" s="14" t="s">
        <v>9021</v>
      </c>
      <c r="C4766" s="14" t="s">
        <v>9022</v>
      </c>
      <c r="D4766" s="14">
        <v>1</v>
      </c>
      <c r="E4766" s="15">
        <v>460.07</v>
      </c>
      <c r="F4766" s="16" t="s">
        <v>8</v>
      </c>
      <c r="G4766" s="14"/>
    </row>
    <row r="4767" spans="2:7" ht="11.25" outlineLevel="7" x14ac:dyDescent="0.2">
      <c r="B4767" s="14" t="s">
        <v>9023</v>
      </c>
      <c r="C4767" s="14" t="s">
        <v>9024</v>
      </c>
      <c r="D4767" s="14">
        <v>1</v>
      </c>
      <c r="E4767" s="15">
        <v>548.95000000000005</v>
      </c>
      <c r="F4767" s="16" t="s">
        <v>8</v>
      </c>
      <c r="G4767" s="14"/>
    </row>
    <row r="4768" spans="2:7" ht="11.25" outlineLevel="7" x14ac:dyDescent="0.2">
      <c r="B4768" s="14" t="s">
        <v>9025</v>
      </c>
      <c r="C4768" s="14" t="s">
        <v>9026</v>
      </c>
      <c r="D4768" s="14">
        <v>1</v>
      </c>
      <c r="E4768" s="15">
        <v>662.2</v>
      </c>
      <c r="F4768" s="16" t="s">
        <v>8</v>
      </c>
      <c r="G4768" s="14"/>
    </row>
    <row r="4769" spans="2:7" ht="11.25" outlineLevel="7" x14ac:dyDescent="0.2">
      <c r="B4769" s="14" t="s">
        <v>9027</v>
      </c>
      <c r="C4769" s="14" t="s">
        <v>9028</v>
      </c>
      <c r="D4769" s="14">
        <v>1</v>
      </c>
      <c r="E4769" s="15">
        <v>134.96</v>
      </c>
      <c r="F4769" s="16" t="s">
        <v>8</v>
      </c>
      <c r="G4769" s="14"/>
    </row>
    <row r="4770" spans="2:7" ht="12" outlineLevel="6" x14ac:dyDescent="0.2">
      <c r="B4770" s="18"/>
      <c r="C4770" s="39" t="s">
        <v>9029</v>
      </c>
      <c r="D4770" s="18"/>
      <c r="E4770" s="19"/>
      <c r="F4770" s="19"/>
      <c r="G4770" s="18"/>
    </row>
    <row r="4771" spans="2:7" ht="11.25" outlineLevel="7" x14ac:dyDescent="0.2">
      <c r="B4771" s="14" t="s">
        <v>9030</v>
      </c>
      <c r="C4771" s="14" t="s">
        <v>9031</v>
      </c>
      <c r="D4771" s="14">
        <v>1</v>
      </c>
      <c r="E4771" s="15">
        <v>163.54</v>
      </c>
      <c r="F4771" s="16" t="s">
        <v>8</v>
      </c>
      <c r="G4771" s="14"/>
    </row>
    <row r="4772" spans="2:7" ht="11.25" outlineLevel="7" x14ac:dyDescent="0.2">
      <c r="B4772" s="14" t="s">
        <v>9032</v>
      </c>
      <c r="C4772" s="14" t="s">
        <v>9033</v>
      </c>
      <c r="D4772" s="14">
        <v>1</v>
      </c>
      <c r="E4772" s="15">
        <v>208.54</v>
      </c>
      <c r="F4772" s="16" t="s">
        <v>8</v>
      </c>
      <c r="G4772" s="14"/>
    </row>
    <row r="4773" spans="2:7" ht="11.25" outlineLevel="7" x14ac:dyDescent="0.2">
      <c r="B4773" s="14" t="s">
        <v>9034</v>
      </c>
      <c r="C4773" s="14" t="s">
        <v>9035</v>
      </c>
      <c r="D4773" s="14">
        <v>1</v>
      </c>
      <c r="E4773" s="15">
        <v>227.34</v>
      </c>
      <c r="F4773" s="16" t="s">
        <v>8</v>
      </c>
      <c r="G4773" s="14"/>
    </row>
    <row r="4774" spans="2:7" ht="11.25" outlineLevel="7" x14ac:dyDescent="0.2">
      <c r="B4774" s="14" t="s">
        <v>9036</v>
      </c>
      <c r="C4774" s="14" t="s">
        <v>9037</v>
      </c>
      <c r="D4774" s="14">
        <v>1</v>
      </c>
      <c r="E4774" s="15">
        <v>327.77</v>
      </c>
      <c r="F4774" s="16" t="s">
        <v>8</v>
      </c>
      <c r="G4774" s="14"/>
    </row>
    <row r="4775" spans="2:7" ht="11.25" outlineLevel="7" x14ac:dyDescent="0.2">
      <c r="B4775" s="14" t="s">
        <v>9038</v>
      </c>
      <c r="C4775" s="14" t="s">
        <v>9039</v>
      </c>
      <c r="D4775" s="14">
        <v>1</v>
      </c>
      <c r="E4775" s="15">
        <v>449.16</v>
      </c>
      <c r="F4775" s="16" t="s">
        <v>8</v>
      </c>
      <c r="G4775" s="14"/>
    </row>
    <row r="4776" spans="2:7" ht="11.25" outlineLevel="7" x14ac:dyDescent="0.2">
      <c r="B4776" s="14" t="s">
        <v>9040</v>
      </c>
      <c r="C4776" s="14" t="s">
        <v>9041</v>
      </c>
      <c r="D4776" s="14">
        <v>1</v>
      </c>
      <c r="E4776" s="15">
        <v>593.17999999999995</v>
      </c>
      <c r="F4776" s="16" t="s">
        <v>8</v>
      </c>
      <c r="G4776" s="14"/>
    </row>
    <row r="4777" spans="2:7" ht="11.25" outlineLevel="7" x14ac:dyDescent="0.2">
      <c r="B4777" s="14" t="s">
        <v>9042</v>
      </c>
      <c r="C4777" s="14" t="s">
        <v>9043</v>
      </c>
      <c r="D4777" s="14">
        <v>1</v>
      </c>
      <c r="E4777" s="15">
        <v>705.74</v>
      </c>
      <c r="F4777" s="16" t="s">
        <v>8</v>
      </c>
      <c r="G4777" s="14"/>
    </row>
    <row r="4778" spans="2:7" ht="12" outlineLevel="6" x14ac:dyDescent="0.2">
      <c r="B4778" s="18"/>
      <c r="C4778" s="39" t="s">
        <v>9044</v>
      </c>
      <c r="D4778" s="18"/>
      <c r="E4778" s="19"/>
      <c r="F4778" s="19"/>
      <c r="G4778" s="18"/>
    </row>
    <row r="4779" spans="2:7" ht="11.25" outlineLevel="7" x14ac:dyDescent="0.2">
      <c r="B4779" s="14" t="s">
        <v>9045</v>
      </c>
      <c r="C4779" s="14" t="s">
        <v>9046</v>
      </c>
      <c r="D4779" s="14">
        <v>1</v>
      </c>
      <c r="E4779" s="15">
        <v>62.12</v>
      </c>
      <c r="F4779" s="16" t="s">
        <v>8</v>
      </c>
      <c r="G4779" s="38" t="str">
        <f>HYPERLINK("http://enext.ua/2223031")</f>
        <v>http://enext.ua/2223031</v>
      </c>
    </row>
    <row r="4780" spans="2:7" ht="11.25" outlineLevel="7" x14ac:dyDescent="0.2">
      <c r="B4780" s="14" t="s">
        <v>9047</v>
      </c>
      <c r="C4780" s="14" t="s">
        <v>9048</v>
      </c>
      <c r="D4780" s="14">
        <v>1</v>
      </c>
      <c r="E4780" s="15">
        <v>82.36</v>
      </c>
      <c r="F4780" s="16" t="s">
        <v>8</v>
      </c>
      <c r="G4780" s="14"/>
    </row>
    <row r="4781" spans="2:7" ht="11.25" outlineLevel="7" x14ac:dyDescent="0.2">
      <c r="B4781" s="14" t="s">
        <v>9049</v>
      </c>
      <c r="C4781" s="14" t="s">
        <v>9050</v>
      </c>
      <c r="D4781" s="14">
        <v>1</v>
      </c>
      <c r="E4781" s="15">
        <v>111.32</v>
      </c>
      <c r="F4781" s="16" t="s">
        <v>8</v>
      </c>
      <c r="G4781" s="14"/>
    </row>
    <row r="4782" spans="2:7" ht="11.25" outlineLevel="7" x14ac:dyDescent="0.2">
      <c r="B4782" s="14" t="s">
        <v>9051</v>
      </c>
      <c r="C4782" s="14" t="s">
        <v>9052</v>
      </c>
      <c r="D4782" s="14">
        <v>1</v>
      </c>
      <c r="E4782" s="15">
        <v>180.88</v>
      </c>
      <c r="F4782" s="16" t="s">
        <v>8</v>
      </c>
      <c r="G4782" s="14"/>
    </row>
    <row r="4783" spans="2:7" ht="11.25" outlineLevel="7" x14ac:dyDescent="0.2">
      <c r="B4783" s="14" t="s">
        <v>9053</v>
      </c>
      <c r="C4783" s="14" t="s">
        <v>9054</v>
      </c>
      <c r="D4783" s="14">
        <v>1</v>
      </c>
      <c r="E4783" s="15">
        <v>256.81</v>
      </c>
      <c r="F4783" s="16" t="s">
        <v>8</v>
      </c>
      <c r="G4783" s="14"/>
    </row>
    <row r="4784" spans="2:7" ht="11.25" outlineLevel="7" x14ac:dyDescent="0.2">
      <c r="B4784" s="14" t="s">
        <v>9055</v>
      </c>
      <c r="C4784" s="14" t="s">
        <v>9056</v>
      </c>
      <c r="D4784" s="14">
        <v>1</v>
      </c>
      <c r="E4784" s="15">
        <v>53.38</v>
      </c>
      <c r="F4784" s="16" t="s">
        <v>8</v>
      </c>
      <c r="G4784" s="14"/>
    </row>
    <row r="4785" spans="2:7" ht="11.25" outlineLevel="7" x14ac:dyDescent="0.2">
      <c r="B4785" s="14" t="s">
        <v>9057</v>
      </c>
      <c r="C4785" s="14" t="s">
        <v>9058</v>
      </c>
      <c r="D4785" s="14">
        <v>1</v>
      </c>
      <c r="E4785" s="15">
        <v>324.97000000000003</v>
      </c>
      <c r="F4785" s="16" t="s">
        <v>8</v>
      </c>
      <c r="G4785" s="14"/>
    </row>
    <row r="4786" spans="2:7" ht="11.25" outlineLevel="7" x14ac:dyDescent="0.2">
      <c r="B4786" s="14" t="s">
        <v>9059</v>
      </c>
      <c r="C4786" s="14" t="s">
        <v>9060</v>
      </c>
      <c r="D4786" s="14">
        <v>1</v>
      </c>
      <c r="E4786" s="15">
        <v>474.53</v>
      </c>
      <c r="F4786" s="16" t="s">
        <v>8</v>
      </c>
      <c r="G4786" s="14"/>
    </row>
    <row r="4787" spans="2:7" ht="11.25" outlineLevel="7" x14ac:dyDescent="0.2">
      <c r="B4787" s="14" t="s">
        <v>9061</v>
      </c>
      <c r="C4787" s="14" t="s">
        <v>9062</v>
      </c>
      <c r="D4787" s="14">
        <v>1</v>
      </c>
      <c r="E4787" s="15">
        <v>59.82</v>
      </c>
      <c r="F4787" s="16" t="s">
        <v>8</v>
      </c>
      <c r="G4787" s="14"/>
    </row>
    <row r="4788" spans="2:7" ht="12" outlineLevel="5" x14ac:dyDescent="0.2">
      <c r="B4788" s="18"/>
      <c r="C4788" s="39" t="s">
        <v>9063</v>
      </c>
      <c r="D4788" s="18"/>
      <c r="E4788" s="19"/>
      <c r="F4788" s="19"/>
      <c r="G4788" s="18"/>
    </row>
    <row r="4789" spans="2:7" ht="12" outlineLevel="6" x14ac:dyDescent="0.2">
      <c r="B4789" s="18"/>
      <c r="C4789" s="39" t="s">
        <v>9064</v>
      </c>
      <c r="D4789" s="18"/>
      <c r="E4789" s="19"/>
      <c r="F4789" s="19"/>
      <c r="G4789" s="18"/>
    </row>
    <row r="4790" spans="2:7" ht="11.25" outlineLevel="7" x14ac:dyDescent="0.2">
      <c r="B4790" s="14" t="s">
        <v>9065</v>
      </c>
      <c r="C4790" s="14" t="s">
        <v>9066</v>
      </c>
      <c r="D4790" s="14">
        <v>1</v>
      </c>
      <c r="E4790" s="15">
        <v>189.91</v>
      </c>
      <c r="F4790" s="16" t="s">
        <v>8</v>
      </c>
      <c r="G4790" s="14"/>
    </row>
    <row r="4791" spans="2:7" ht="11.25" outlineLevel="7" x14ac:dyDescent="0.2">
      <c r="B4791" s="14" t="s">
        <v>9067</v>
      </c>
      <c r="C4791" s="14" t="s">
        <v>9068</v>
      </c>
      <c r="D4791" s="14">
        <v>1</v>
      </c>
      <c r="E4791" s="15">
        <v>218.38</v>
      </c>
      <c r="F4791" s="16" t="s">
        <v>8</v>
      </c>
      <c r="G4791" s="14"/>
    </row>
    <row r="4792" spans="2:7" ht="11.25" outlineLevel="7" x14ac:dyDescent="0.2">
      <c r="B4792" s="14" t="s">
        <v>9069</v>
      </c>
      <c r="C4792" s="14" t="s">
        <v>9070</v>
      </c>
      <c r="D4792" s="14">
        <v>1</v>
      </c>
      <c r="E4792" s="15">
        <v>252.19</v>
      </c>
      <c r="F4792" s="16" t="s">
        <v>8</v>
      </c>
      <c r="G4792" s="14"/>
    </row>
    <row r="4793" spans="2:7" ht="11.25" outlineLevel="7" x14ac:dyDescent="0.2">
      <c r="B4793" s="14" t="s">
        <v>9071</v>
      </c>
      <c r="C4793" s="14" t="s">
        <v>9072</v>
      </c>
      <c r="D4793" s="14">
        <v>1</v>
      </c>
      <c r="E4793" s="15">
        <v>348.7</v>
      </c>
      <c r="F4793" s="16" t="s">
        <v>8</v>
      </c>
      <c r="G4793" s="14"/>
    </row>
    <row r="4794" spans="2:7" ht="11.25" outlineLevel="7" x14ac:dyDescent="0.2">
      <c r="B4794" s="14" t="s">
        <v>9073</v>
      </c>
      <c r="C4794" s="14" t="s">
        <v>9074</v>
      </c>
      <c r="D4794" s="14">
        <v>1</v>
      </c>
      <c r="E4794" s="15">
        <v>164.78</v>
      </c>
      <c r="F4794" s="16" t="s">
        <v>8</v>
      </c>
      <c r="G4794" s="14"/>
    </row>
    <row r="4795" spans="2:7" ht="11.25" outlineLevel="7" x14ac:dyDescent="0.2">
      <c r="B4795" s="14" t="s">
        <v>9075</v>
      </c>
      <c r="C4795" s="14" t="s">
        <v>9076</v>
      </c>
      <c r="D4795" s="14">
        <v>1</v>
      </c>
      <c r="E4795" s="15">
        <v>181.69</v>
      </c>
      <c r="F4795" s="16" t="s">
        <v>8</v>
      </c>
      <c r="G4795" s="14"/>
    </row>
    <row r="4796" spans="2:7" ht="12" outlineLevel="6" x14ac:dyDescent="0.2">
      <c r="B4796" s="18"/>
      <c r="C4796" s="39" t="s">
        <v>9077</v>
      </c>
      <c r="D4796" s="18"/>
      <c r="E4796" s="19"/>
      <c r="F4796" s="19"/>
      <c r="G4796" s="18"/>
    </row>
    <row r="4797" spans="2:7" ht="11.25" outlineLevel="7" x14ac:dyDescent="0.2">
      <c r="B4797" s="14" t="s">
        <v>9078</v>
      </c>
      <c r="C4797" s="14" t="s">
        <v>8329</v>
      </c>
      <c r="D4797" s="14">
        <v>1</v>
      </c>
      <c r="E4797" s="15">
        <v>337.91</v>
      </c>
      <c r="F4797" s="16" t="s">
        <v>8</v>
      </c>
      <c r="G4797" s="38" t="str">
        <f>HYPERLINK("http://enext.ua/2313230")</f>
        <v>http://enext.ua/2313230</v>
      </c>
    </row>
    <row r="4798" spans="2:7" ht="11.25" outlineLevel="7" x14ac:dyDescent="0.2">
      <c r="B4798" s="14" t="s">
        <v>9079</v>
      </c>
      <c r="C4798" s="14" t="s">
        <v>9080</v>
      </c>
      <c r="D4798" s="14">
        <v>1</v>
      </c>
      <c r="E4798" s="15">
        <v>360.77</v>
      </c>
      <c r="F4798" s="16" t="s">
        <v>8</v>
      </c>
      <c r="G4798" s="14"/>
    </row>
    <row r="4799" spans="2:7" ht="11.25" outlineLevel="7" x14ac:dyDescent="0.2">
      <c r="B4799" s="14" t="s">
        <v>9081</v>
      </c>
      <c r="C4799" s="14" t="s">
        <v>8333</v>
      </c>
      <c r="D4799" s="14">
        <v>1</v>
      </c>
      <c r="E4799" s="15">
        <v>388.06</v>
      </c>
      <c r="F4799" s="16" t="s">
        <v>8</v>
      </c>
      <c r="G4799" s="14"/>
    </row>
    <row r="4800" spans="2:7" ht="11.25" outlineLevel="7" x14ac:dyDescent="0.2">
      <c r="B4800" s="14" t="s">
        <v>9082</v>
      </c>
      <c r="C4800" s="14" t="s">
        <v>8335</v>
      </c>
      <c r="D4800" s="14">
        <v>1</v>
      </c>
      <c r="E4800" s="15">
        <v>530</v>
      </c>
      <c r="F4800" s="16" t="s">
        <v>8</v>
      </c>
      <c r="G4800" s="14"/>
    </row>
    <row r="4801" spans="2:7" ht="11.25" outlineLevel="7" x14ac:dyDescent="0.2">
      <c r="B4801" s="14" t="s">
        <v>9083</v>
      </c>
      <c r="C4801" s="14" t="s">
        <v>8337</v>
      </c>
      <c r="D4801" s="14">
        <v>1</v>
      </c>
      <c r="E4801" s="15">
        <v>589.30999999999995</v>
      </c>
      <c r="F4801" s="16" t="s">
        <v>8</v>
      </c>
      <c r="G4801" s="14"/>
    </row>
    <row r="4802" spans="2:7" ht="11.25" outlineLevel="7" x14ac:dyDescent="0.2">
      <c r="B4802" s="14" t="s">
        <v>9084</v>
      </c>
      <c r="C4802" s="14" t="s">
        <v>9085</v>
      </c>
      <c r="D4802" s="14">
        <v>1</v>
      </c>
      <c r="E4802" s="15">
        <v>698.1</v>
      </c>
      <c r="F4802" s="16" t="s">
        <v>8</v>
      </c>
      <c r="G4802" s="38" t="str">
        <f>HYPERLINK("http://enext.ua/2318230")</f>
        <v>http://enext.ua/2318230</v>
      </c>
    </row>
    <row r="4803" spans="2:7" ht="11.25" outlineLevel="7" x14ac:dyDescent="0.2">
      <c r="B4803" s="14" t="s">
        <v>9086</v>
      </c>
      <c r="C4803" s="14" t="s">
        <v>9087</v>
      </c>
      <c r="D4803" s="14">
        <v>1</v>
      </c>
      <c r="E4803" s="15">
        <v>311.76</v>
      </c>
      <c r="F4803" s="16" t="s">
        <v>8</v>
      </c>
      <c r="G4803" s="14"/>
    </row>
    <row r="4804" spans="2:7" ht="11.25" outlineLevel="7" x14ac:dyDescent="0.2">
      <c r="B4804" s="14" t="s">
        <v>9088</v>
      </c>
      <c r="C4804" s="14" t="s">
        <v>9089</v>
      </c>
      <c r="D4804" s="14">
        <v>1</v>
      </c>
      <c r="E4804" s="15">
        <v>841.57</v>
      </c>
      <c r="F4804" s="16" t="s">
        <v>8</v>
      </c>
      <c r="G4804" s="14"/>
    </row>
    <row r="4805" spans="2:7" ht="12" outlineLevel="6" x14ac:dyDescent="0.2">
      <c r="B4805" s="18"/>
      <c r="C4805" s="39" t="s">
        <v>9090</v>
      </c>
      <c r="D4805" s="18"/>
      <c r="E4805" s="19"/>
      <c r="F4805" s="19"/>
      <c r="G4805" s="18"/>
    </row>
    <row r="4806" spans="2:7" ht="11.25" outlineLevel="7" x14ac:dyDescent="0.2">
      <c r="B4806" s="14" t="s">
        <v>9091</v>
      </c>
      <c r="C4806" s="14" t="s">
        <v>9092</v>
      </c>
      <c r="D4806" s="14">
        <v>1</v>
      </c>
      <c r="E4806" s="15">
        <v>370.63</v>
      </c>
      <c r="F4806" s="16" t="s">
        <v>8</v>
      </c>
      <c r="G4806" s="38" t="str">
        <f>HYPERLINK("http://enext.ua/2313330")</f>
        <v>http://enext.ua/2313330</v>
      </c>
    </row>
    <row r="4807" spans="2:7" ht="11.25" outlineLevel="7" x14ac:dyDescent="0.2">
      <c r="B4807" s="14" t="s">
        <v>9093</v>
      </c>
      <c r="C4807" s="14" t="s">
        <v>9094</v>
      </c>
      <c r="D4807" s="14">
        <v>1</v>
      </c>
      <c r="E4807" s="15">
        <v>395.58</v>
      </c>
      <c r="F4807" s="16" t="s">
        <v>8</v>
      </c>
      <c r="G4807" s="14"/>
    </row>
    <row r="4808" spans="2:7" ht="11.25" outlineLevel="7" x14ac:dyDescent="0.2">
      <c r="B4808" s="14" t="s">
        <v>9095</v>
      </c>
      <c r="C4808" s="14" t="s">
        <v>9096</v>
      </c>
      <c r="D4808" s="14">
        <v>1</v>
      </c>
      <c r="E4808" s="15">
        <v>405.46</v>
      </c>
      <c r="F4808" s="16" t="s">
        <v>8</v>
      </c>
      <c r="G4808" s="14"/>
    </row>
    <row r="4809" spans="2:7" ht="11.25" outlineLevel="7" x14ac:dyDescent="0.2">
      <c r="B4809" s="14" t="s">
        <v>9097</v>
      </c>
      <c r="C4809" s="14" t="s">
        <v>9098</v>
      </c>
      <c r="D4809" s="14">
        <v>1</v>
      </c>
      <c r="E4809" s="15">
        <v>533.04</v>
      </c>
      <c r="F4809" s="16" t="s">
        <v>8</v>
      </c>
      <c r="G4809" s="38" t="str">
        <f>HYPERLINK("http://enext.ua/2316330")</f>
        <v>http://enext.ua/2316330</v>
      </c>
    </row>
    <row r="4810" spans="2:7" ht="11.25" outlineLevel="7" x14ac:dyDescent="0.2">
      <c r="B4810" s="14" t="s">
        <v>9099</v>
      </c>
      <c r="C4810" s="14" t="s">
        <v>9100</v>
      </c>
      <c r="D4810" s="14">
        <v>1</v>
      </c>
      <c r="E4810" s="15">
        <v>646.94000000000005</v>
      </c>
      <c r="F4810" s="16" t="s">
        <v>8</v>
      </c>
      <c r="G4810" s="14"/>
    </row>
    <row r="4811" spans="2:7" ht="11.25" outlineLevel="7" x14ac:dyDescent="0.2">
      <c r="B4811" s="14" t="s">
        <v>9101</v>
      </c>
      <c r="C4811" s="14" t="s">
        <v>9102</v>
      </c>
      <c r="D4811" s="14">
        <v>1</v>
      </c>
      <c r="E4811" s="15">
        <v>720.07</v>
      </c>
      <c r="F4811" s="16" t="s">
        <v>8</v>
      </c>
      <c r="G4811" s="14"/>
    </row>
    <row r="4812" spans="2:7" ht="11.25" outlineLevel="7" x14ac:dyDescent="0.2">
      <c r="B4812" s="14" t="s">
        <v>9103</v>
      </c>
      <c r="C4812" s="14" t="s">
        <v>9104</v>
      </c>
      <c r="D4812" s="14">
        <v>1</v>
      </c>
      <c r="E4812" s="15">
        <v>857.22</v>
      </c>
      <c r="F4812" s="16" t="s">
        <v>8</v>
      </c>
      <c r="G4812" s="14"/>
    </row>
    <row r="4813" spans="2:7" ht="11.25" outlineLevel="7" x14ac:dyDescent="0.2">
      <c r="B4813" s="14" t="s">
        <v>9105</v>
      </c>
      <c r="C4813" s="14" t="s">
        <v>9106</v>
      </c>
      <c r="D4813" s="14">
        <v>1</v>
      </c>
      <c r="E4813" s="15">
        <v>351.37</v>
      </c>
      <c r="F4813" s="16" t="s">
        <v>8</v>
      </c>
      <c r="G4813" s="14"/>
    </row>
    <row r="4814" spans="2:7" ht="12" outlineLevel="6" x14ac:dyDescent="0.2">
      <c r="B4814" s="18"/>
      <c r="C4814" s="39" t="s">
        <v>9107</v>
      </c>
      <c r="D4814" s="18"/>
      <c r="E4814" s="19"/>
      <c r="F4814" s="19"/>
      <c r="G4814" s="18"/>
    </row>
    <row r="4815" spans="2:7" ht="11.25" outlineLevel="7" x14ac:dyDescent="0.2">
      <c r="B4815" s="14" t="s">
        <v>9108</v>
      </c>
      <c r="C4815" s="14" t="s">
        <v>9109</v>
      </c>
      <c r="D4815" s="14">
        <v>1</v>
      </c>
      <c r="E4815" s="15">
        <v>375.2</v>
      </c>
      <c r="F4815" s="16" t="s">
        <v>8</v>
      </c>
      <c r="G4815" s="14"/>
    </row>
    <row r="4816" spans="2:7" ht="11.25" outlineLevel="7" x14ac:dyDescent="0.2">
      <c r="B4816" s="14" t="s">
        <v>9110</v>
      </c>
      <c r="C4816" s="14" t="s">
        <v>9111</v>
      </c>
      <c r="D4816" s="14">
        <v>1</v>
      </c>
      <c r="E4816" s="15">
        <v>405.26</v>
      </c>
      <c r="F4816" s="16" t="s">
        <v>8</v>
      </c>
      <c r="G4816" s="14"/>
    </row>
    <row r="4817" spans="2:7" ht="11.25" outlineLevel="7" x14ac:dyDescent="0.2">
      <c r="B4817" s="14" t="s">
        <v>9112</v>
      </c>
      <c r="C4817" s="14" t="s">
        <v>9113</v>
      </c>
      <c r="D4817" s="14">
        <v>1</v>
      </c>
      <c r="E4817" s="15">
        <v>430.72</v>
      </c>
      <c r="F4817" s="16" t="s">
        <v>8</v>
      </c>
      <c r="G4817" s="14"/>
    </row>
    <row r="4818" spans="2:7" ht="11.25" outlineLevel="7" x14ac:dyDescent="0.2">
      <c r="B4818" s="14" t="s">
        <v>9114</v>
      </c>
      <c r="C4818" s="14" t="s">
        <v>9115</v>
      </c>
      <c r="D4818" s="14">
        <v>1</v>
      </c>
      <c r="E4818" s="15">
        <v>539.1</v>
      </c>
      <c r="F4818" s="16" t="s">
        <v>8</v>
      </c>
      <c r="G4818" s="14"/>
    </row>
    <row r="4819" spans="2:7" ht="11.25" outlineLevel="7" x14ac:dyDescent="0.2">
      <c r="B4819" s="14" t="s">
        <v>9116</v>
      </c>
      <c r="C4819" s="14" t="s">
        <v>9117</v>
      </c>
      <c r="D4819" s="14">
        <v>1</v>
      </c>
      <c r="E4819" s="15">
        <v>654</v>
      </c>
      <c r="F4819" s="16" t="s">
        <v>8</v>
      </c>
      <c r="G4819" s="14"/>
    </row>
    <row r="4820" spans="2:7" ht="11.25" outlineLevel="7" x14ac:dyDescent="0.2">
      <c r="B4820" s="14" t="s">
        <v>9118</v>
      </c>
      <c r="C4820" s="14" t="s">
        <v>9119</v>
      </c>
      <c r="D4820" s="14">
        <v>1</v>
      </c>
      <c r="E4820" s="15">
        <v>739.42</v>
      </c>
      <c r="F4820" s="16" t="s">
        <v>8</v>
      </c>
      <c r="G4820" s="14"/>
    </row>
    <row r="4821" spans="2:7" ht="11.25" outlineLevel="7" x14ac:dyDescent="0.2">
      <c r="B4821" s="14" t="s">
        <v>9120</v>
      </c>
      <c r="C4821" s="14" t="s">
        <v>9121</v>
      </c>
      <c r="D4821" s="14">
        <v>1</v>
      </c>
      <c r="E4821" s="15">
        <v>907.72</v>
      </c>
      <c r="F4821" s="16" t="s">
        <v>8</v>
      </c>
      <c r="G4821" s="14"/>
    </row>
    <row r="4822" spans="2:7" ht="12" outlineLevel="6" x14ac:dyDescent="0.2">
      <c r="B4822" s="18"/>
      <c r="C4822" s="39" t="s">
        <v>9122</v>
      </c>
      <c r="D4822" s="18"/>
      <c r="E4822" s="19"/>
      <c r="F4822" s="19"/>
      <c r="G4822" s="18"/>
    </row>
    <row r="4823" spans="2:7" ht="11.25" outlineLevel="7" x14ac:dyDescent="0.2">
      <c r="B4823" s="14" t="s">
        <v>9123</v>
      </c>
      <c r="C4823" s="14" t="s">
        <v>9124</v>
      </c>
      <c r="D4823" s="14">
        <v>1</v>
      </c>
      <c r="E4823" s="15">
        <v>95.81</v>
      </c>
      <c r="F4823" s="16" t="s">
        <v>8</v>
      </c>
      <c r="G4823" s="14"/>
    </row>
    <row r="4824" spans="2:7" ht="11.25" outlineLevel="7" x14ac:dyDescent="0.2">
      <c r="B4824" s="14" t="s">
        <v>9125</v>
      </c>
      <c r="C4824" s="14" t="s">
        <v>9126</v>
      </c>
      <c r="D4824" s="14">
        <v>1</v>
      </c>
      <c r="E4824" s="15">
        <v>126.54</v>
      </c>
      <c r="F4824" s="16" t="s">
        <v>8</v>
      </c>
      <c r="G4824" s="14"/>
    </row>
    <row r="4825" spans="2:7" ht="11.25" outlineLevel="7" x14ac:dyDescent="0.2">
      <c r="B4825" s="14" t="s">
        <v>9127</v>
      </c>
      <c r="C4825" s="14" t="s">
        <v>9128</v>
      </c>
      <c r="D4825" s="14">
        <v>1</v>
      </c>
      <c r="E4825" s="15">
        <v>157.58000000000001</v>
      </c>
      <c r="F4825" s="16" t="s">
        <v>8</v>
      </c>
      <c r="G4825" s="14"/>
    </row>
    <row r="4826" spans="2:7" ht="11.25" outlineLevel="7" x14ac:dyDescent="0.2">
      <c r="B4826" s="14" t="s">
        <v>9129</v>
      </c>
      <c r="C4826" s="14" t="s">
        <v>9130</v>
      </c>
      <c r="D4826" s="14">
        <v>1</v>
      </c>
      <c r="E4826" s="15">
        <v>248.75</v>
      </c>
      <c r="F4826" s="16" t="s">
        <v>8</v>
      </c>
      <c r="G4826" s="14"/>
    </row>
    <row r="4827" spans="2:7" ht="11.25" outlineLevel="7" x14ac:dyDescent="0.2">
      <c r="B4827" s="14" t="s">
        <v>9131</v>
      </c>
      <c r="C4827" s="14" t="s">
        <v>9132</v>
      </c>
      <c r="D4827" s="14">
        <v>1</v>
      </c>
      <c r="E4827" s="15">
        <v>356.64</v>
      </c>
      <c r="F4827" s="16" t="s">
        <v>8</v>
      </c>
      <c r="G4827" s="14"/>
    </row>
    <row r="4828" spans="2:7" ht="11.25" outlineLevel="7" x14ac:dyDescent="0.2">
      <c r="B4828" s="14" t="s">
        <v>9133</v>
      </c>
      <c r="C4828" s="14" t="s">
        <v>9134</v>
      </c>
      <c r="D4828" s="14">
        <v>1</v>
      </c>
      <c r="E4828" s="15">
        <v>81.25</v>
      </c>
      <c r="F4828" s="16" t="s">
        <v>8</v>
      </c>
      <c r="G4828" s="38" t="str">
        <f>HYPERLINK("http://enext.ua/2311031")</f>
        <v>http://enext.ua/2311031</v>
      </c>
    </row>
    <row r="4829" spans="2:7" ht="11.25" outlineLevel="7" x14ac:dyDescent="0.2">
      <c r="B4829" s="14" t="s">
        <v>9135</v>
      </c>
      <c r="C4829" s="14" t="s">
        <v>9136</v>
      </c>
      <c r="D4829" s="14">
        <v>1</v>
      </c>
      <c r="E4829" s="15">
        <v>494.58</v>
      </c>
      <c r="F4829" s="16" t="s">
        <v>8</v>
      </c>
      <c r="G4829" s="14"/>
    </row>
    <row r="4830" spans="2:7" ht="11.25" outlineLevel="7" x14ac:dyDescent="0.2">
      <c r="B4830" s="14" t="s">
        <v>9137</v>
      </c>
      <c r="C4830" s="14" t="s">
        <v>9138</v>
      </c>
      <c r="D4830" s="14">
        <v>1</v>
      </c>
      <c r="E4830" s="15">
        <v>639.94000000000005</v>
      </c>
      <c r="F4830" s="16" t="s">
        <v>8</v>
      </c>
      <c r="G4830" s="14"/>
    </row>
    <row r="4831" spans="2:7" ht="11.25" outlineLevel="7" x14ac:dyDescent="0.2">
      <c r="B4831" s="14" t="s">
        <v>9139</v>
      </c>
      <c r="C4831" s="14" t="s">
        <v>9140</v>
      </c>
      <c r="D4831" s="14">
        <v>1</v>
      </c>
      <c r="E4831" s="15">
        <v>92.05</v>
      </c>
      <c r="F4831" s="16" t="s">
        <v>8</v>
      </c>
      <c r="G4831" s="14"/>
    </row>
    <row r="4832" spans="2:7" ht="12" outlineLevel="5" x14ac:dyDescent="0.2">
      <c r="B4832" s="18"/>
      <c r="C4832" s="39" t="s">
        <v>9141</v>
      </c>
      <c r="D4832" s="18"/>
      <c r="E4832" s="19"/>
      <c r="F4832" s="19"/>
      <c r="G4832" s="18"/>
    </row>
    <row r="4833" spans="2:7" ht="12" outlineLevel="6" x14ac:dyDescent="0.2">
      <c r="B4833" s="18"/>
      <c r="C4833" s="39" t="s">
        <v>9142</v>
      </c>
      <c r="D4833" s="18"/>
      <c r="E4833" s="19"/>
      <c r="F4833" s="19"/>
      <c r="G4833" s="18"/>
    </row>
    <row r="4834" spans="2:7" ht="11.25" outlineLevel="7" x14ac:dyDescent="0.2">
      <c r="B4834" s="14" t="s">
        <v>9143</v>
      </c>
      <c r="C4834" s="14" t="s">
        <v>9144</v>
      </c>
      <c r="D4834" s="14">
        <v>1</v>
      </c>
      <c r="E4834" s="15">
        <v>215.24</v>
      </c>
      <c r="F4834" s="16" t="s">
        <v>8</v>
      </c>
      <c r="G4834" s="14"/>
    </row>
    <row r="4835" spans="2:7" ht="11.25" outlineLevel="7" x14ac:dyDescent="0.2">
      <c r="B4835" s="14" t="s">
        <v>9145</v>
      </c>
      <c r="C4835" s="14" t="s">
        <v>9146</v>
      </c>
      <c r="D4835" s="14">
        <v>1</v>
      </c>
      <c r="E4835" s="15">
        <v>251.66</v>
      </c>
      <c r="F4835" s="16" t="s">
        <v>8</v>
      </c>
      <c r="G4835" s="14"/>
    </row>
    <row r="4836" spans="2:7" ht="11.25" outlineLevel="7" x14ac:dyDescent="0.2">
      <c r="B4836" s="14" t="s">
        <v>9147</v>
      </c>
      <c r="C4836" s="14" t="s">
        <v>9148</v>
      </c>
      <c r="D4836" s="14">
        <v>1</v>
      </c>
      <c r="E4836" s="15">
        <v>284.27999999999997</v>
      </c>
      <c r="F4836" s="16" t="s">
        <v>8</v>
      </c>
      <c r="G4836" s="14"/>
    </row>
    <row r="4837" spans="2:7" ht="11.25" outlineLevel="7" x14ac:dyDescent="0.2">
      <c r="B4837" s="14" t="s">
        <v>9149</v>
      </c>
      <c r="C4837" s="14" t="s">
        <v>9150</v>
      </c>
      <c r="D4837" s="14">
        <v>1</v>
      </c>
      <c r="E4837" s="15">
        <v>342.55</v>
      </c>
      <c r="F4837" s="16" t="s">
        <v>8</v>
      </c>
      <c r="G4837" s="14"/>
    </row>
    <row r="4838" spans="2:7" ht="11.25" outlineLevel="7" x14ac:dyDescent="0.2">
      <c r="B4838" s="14" t="s">
        <v>9151</v>
      </c>
      <c r="C4838" s="14" t="s">
        <v>9152</v>
      </c>
      <c r="D4838" s="14">
        <v>1</v>
      </c>
      <c r="E4838" s="15">
        <v>198.8</v>
      </c>
      <c r="F4838" s="16" t="s">
        <v>8</v>
      </c>
      <c r="G4838" s="14"/>
    </row>
    <row r="4839" spans="2:7" ht="11.25" outlineLevel="7" x14ac:dyDescent="0.2">
      <c r="B4839" s="14" t="s">
        <v>9153</v>
      </c>
      <c r="C4839" s="14" t="s">
        <v>9154</v>
      </c>
      <c r="D4839" s="14">
        <v>1</v>
      </c>
      <c r="E4839" s="15">
        <v>209.12</v>
      </c>
      <c r="F4839" s="16" t="s">
        <v>8</v>
      </c>
      <c r="G4839" s="14"/>
    </row>
    <row r="4840" spans="2:7" ht="12" outlineLevel="6" x14ac:dyDescent="0.2">
      <c r="B4840" s="18"/>
      <c r="C4840" s="39" t="s">
        <v>9155</v>
      </c>
      <c r="D4840" s="18"/>
      <c r="E4840" s="19"/>
      <c r="F4840" s="19"/>
      <c r="G4840" s="18"/>
    </row>
    <row r="4841" spans="2:7" ht="11.25" outlineLevel="7" x14ac:dyDescent="0.2">
      <c r="B4841" s="14" t="s">
        <v>9156</v>
      </c>
      <c r="C4841" s="14" t="s">
        <v>9157</v>
      </c>
      <c r="D4841" s="14">
        <v>1</v>
      </c>
      <c r="E4841" s="15">
        <v>223.51</v>
      </c>
      <c r="F4841" s="16" t="s">
        <v>8</v>
      </c>
      <c r="G4841" s="38" t="str">
        <f>HYPERLINK("http://enext.ua/2243230")</f>
        <v>http://enext.ua/2243230</v>
      </c>
    </row>
    <row r="4842" spans="2:7" ht="11.25" outlineLevel="7" x14ac:dyDescent="0.2">
      <c r="B4842" s="14" t="s">
        <v>9158</v>
      </c>
      <c r="C4842" s="14" t="s">
        <v>9159</v>
      </c>
      <c r="D4842" s="14">
        <v>1</v>
      </c>
      <c r="E4842" s="15">
        <v>276.22000000000003</v>
      </c>
      <c r="F4842" s="16" t="s">
        <v>8</v>
      </c>
      <c r="G4842" s="38" t="str">
        <f>HYPERLINK("http://enext.ua/2244230")</f>
        <v>http://enext.ua/2244230</v>
      </c>
    </row>
    <row r="4843" spans="2:7" ht="11.25" outlineLevel="7" x14ac:dyDescent="0.2">
      <c r="B4843" s="14" t="s">
        <v>9160</v>
      </c>
      <c r="C4843" s="14" t="s">
        <v>9161</v>
      </c>
      <c r="D4843" s="14">
        <v>1</v>
      </c>
      <c r="E4843" s="15">
        <v>316.31</v>
      </c>
      <c r="F4843" s="16" t="s">
        <v>8</v>
      </c>
      <c r="G4843" s="38" t="str">
        <f>HYPERLINK("http://enext.ua/2245230")</f>
        <v>http://enext.ua/2245230</v>
      </c>
    </row>
    <row r="4844" spans="2:7" ht="11.25" outlineLevel="7" x14ac:dyDescent="0.2">
      <c r="B4844" s="14" t="s">
        <v>9162</v>
      </c>
      <c r="C4844" s="14" t="s">
        <v>9163</v>
      </c>
      <c r="D4844" s="14">
        <v>1</v>
      </c>
      <c r="E4844" s="15">
        <v>403.6</v>
      </c>
      <c r="F4844" s="16" t="s">
        <v>8</v>
      </c>
      <c r="G4844" s="38" t="str">
        <f>HYPERLINK("http://enext.ua/2246230")</f>
        <v>http://enext.ua/2246230</v>
      </c>
    </row>
    <row r="4845" spans="2:7" ht="11.25" outlineLevel="7" x14ac:dyDescent="0.2">
      <c r="B4845" s="14" t="s">
        <v>9164</v>
      </c>
      <c r="C4845" s="14" t="s">
        <v>9165</v>
      </c>
      <c r="D4845" s="14">
        <v>1</v>
      </c>
      <c r="E4845" s="15">
        <v>432.72</v>
      </c>
      <c r="F4845" s="16" t="s">
        <v>8</v>
      </c>
      <c r="G4845" s="14"/>
    </row>
    <row r="4846" spans="2:7" ht="11.25" outlineLevel="7" x14ac:dyDescent="0.2">
      <c r="B4846" s="14" t="s">
        <v>9166</v>
      </c>
      <c r="C4846" s="14" t="s">
        <v>9167</v>
      </c>
      <c r="D4846" s="14">
        <v>1</v>
      </c>
      <c r="E4846" s="15">
        <v>490.09</v>
      </c>
      <c r="F4846" s="16" t="s">
        <v>8</v>
      </c>
      <c r="G4846" s="14"/>
    </row>
    <row r="4847" spans="2:7" ht="11.25" outlineLevel="7" x14ac:dyDescent="0.2">
      <c r="B4847" s="14" t="s">
        <v>9168</v>
      </c>
      <c r="C4847" s="14" t="s">
        <v>9169</v>
      </c>
      <c r="D4847" s="14">
        <v>1</v>
      </c>
      <c r="E4847" s="15">
        <v>221.74</v>
      </c>
      <c r="F4847" s="16" t="s">
        <v>8</v>
      </c>
      <c r="G4847" s="38" t="str">
        <f>HYPERLINK("http://enext.ua/2241230")</f>
        <v>http://enext.ua/2241230</v>
      </c>
    </row>
    <row r="4848" spans="2:7" ht="11.25" outlineLevel="7" x14ac:dyDescent="0.2">
      <c r="B4848" s="14" t="s">
        <v>9170</v>
      </c>
      <c r="C4848" s="14" t="s">
        <v>9171</v>
      </c>
      <c r="D4848" s="14">
        <v>1</v>
      </c>
      <c r="E4848" s="15">
        <v>585</v>
      </c>
      <c r="F4848" s="16" t="s">
        <v>8</v>
      </c>
      <c r="G4848" s="14"/>
    </row>
    <row r="4849" spans="2:7" ht="12" outlineLevel="6" x14ac:dyDescent="0.2">
      <c r="B4849" s="18"/>
      <c r="C4849" s="39" t="s">
        <v>9172</v>
      </c>
      <c r="D4849" s="18"/>
      <c r="E4849" s="19"/>
      <c r="F4849" s="19"/>
      <c r="G4849" s="18"/>
    </row>
    <row r="4850" spans="2:7" ht="11.25" outlineLevel="7" x14ac:dyDescent="0.2">
      <c r="B4850" s="14" t="s">
        <v>9173</v>
      </c>
      <c r="C4850" s="14" t="s">
        <v>9174</v>
      </c>
      <c r="D4850" s="14">
        <v>1</v>
      </c>
      <c r="E4850" s="15">
        <v>246.2</v>
      </c>
      <c r="F4850" s="16" t="s">
        <v>8</v>
      </c>
      <c r="G4850" s="38" t="str">
        <f>HYPERLINK("http://enext.ua/2243330")</f>
        <v>http://enext.ua/2243330</v>
      </c>
    </row>
    <row r="4851" spans="2:7" ht="11.25" outlineLevel="7" x14ac:dyDescent="0.2">
      <c r="B4851" s="14" t="s">
        <v>9175</v>
      </c>
      <c r="C4851" s="14" t="s">
        <v>9176</v>
      </c>
      <c r="D4851" s="14">
        <v>1</v>
      </c>
      <c r="E4851" s="15">
        <v>262.87</v>
      </c>
      <c r="F4851" s="16" t="s">
        <v>8</v>
      </c>
      <c r="G4851" s="38" t="str">
        <f>HYPERLINK("http://enext.ua/2244330")</f>
        <v>http://enext.ua/2244330</v>
      </c>
    </row>
    <row r="4852" spans="2:7" ht="11.25" outlineLevel="7" x14ac:dyDescent="0.2">
      <c r="B4852" s="14" t="s">
        <v>9177</v>
      </c>
      <c r="C4852" s="14" t="s">
        <v>9178</v>
      </c>
      <c r="D4852" s="14">
        <v>1</v>
      </c>
      <c r="E4852" s="15">
        <v>330.53</v>
      </c>
      <c r="F4852" s="16" t="s">
        <v>8</v>
      </c>
      <c r="G4852" s="14"/>
    </row>
    <row r="4853" spans="2:7" ht="11.25" outlineLevel="7" x14ac:dyDescent="0.2">
      <c r="B4853" s="14" t="s">
        <v>9179</v>
      </c>
      <c r="C4853" s="14" t="s">
        <v>9180</v>
      </c>
      <c r="D4853" s="14">
        <v>1</v>
      </c>
      <c r="E4853" s="15">
        <v>372.94</v>
      </c>
      <c r="F4853" s="16" t="s">
        <v>8</v>
      </c>
      <c r="G4853" s="38" t="str">
        <f>HYPERLINK("http://enext.ua/2246330")</f>
        <v>http://enext.ua/2246330</v>
      </c>
    </row>
    <row r="4854" spans="2:7" ht="11.25" outlineLevel="7" x14ac:dyDescent="0.2">
      <c r="B4854" s="14" t="s">
        <v>9181</v>
      </c>
      <c r="C4854" s="14" t="s">
        <v>9182</v>
      </c>
      <c r="D4854" s="14">
        <v>1</v>
      </c>
      <c r="E4854" s="15">
        <v>417.91</v>
      </c>
      <c r="F4854" s="16" t="s">
        <v>8</v>
      </c>
      <c r="G4854" s="38" t="str">
        <f>HYPERLINK("http://enext.ua/2247330")</f>
        <v>http://enext.ua/2247330</v>
      </c>
    </row>
    <row r="4855" spans="2:7" ht="11.25" outlineLevel="7" x14ac:dyDescent="0.2">
      <c r="B4855" s="14" t="s">
        <v>9183</v>
      </c>
      <c r="C4855" s="14" t="s">
        <v>9184</v>
      </c>
      <c r="D4855" s="14">
        <v>1</v>
      </c>
      <c r="E4855" s="15">
        <v>494.69</v>
      </c>
      <c r="F4855" s="16" t="s">
        <v>8</v>
      </c>
      <c r="G4855" s="14"/>
    </row>
    <row r="4856" spans="2:7" ht="11.25" outlineLevel="7" x14ac:dyDescent="0.2">
      <c r="B4856" s="14" t="s">
        <v>9185</v>
      </c>
      <c r="C4856" s="14" t="s">
        <v>9186</v>
      </c>
      <c r="D4856" s="14">
        <v>1</v>
      </c>
      <c r="E4856" s="15">
        <v>607.58000000000004</v>
      </c>
      <c r="F4856" s="16" t="s">
        <v>8</v>
      </c>
      <c r="G4856" s="14"/>
    </row>
    <row r="4857" spans="2:7" ht="11.25" outlineLevel="7" x14ac:dyDescent="0.2">
      <c r="B4857" s="14" t="s">
        <v>9187</v>
      </c>
      <c r="C4857" s="14" t="s">
        <v>9188</v>
      </c>
      <c r="D4857" s="14">
        <v>1</v>
      </c>
      <c r="E4857" s="15">
        <v>220.92</v>
      </c>
      <c r="F4857" s="16" t="s">
        <v>8</v>
      </c>
      <c r="G4857" s="14"/>
    </row>
    <row r="4858" spans="2:7" ht="12" outlineLevel="6" x14ac:dyDescent="0.2">
      <c r="B4858" s="18"/>
      <c r="C4858" s="39" t="s">
        <v>9189</v>
      </c>
      <c r="D4858" s="18"/>
      <c r="E4858" s="19"/>
      <c r="F4858" s="19"/>
      <c r="G4858" s="18"/>
    </row>
    <row r="4859" spans="2:7" ht="11.25" outlineLevel="7" x14ac:dyDescent="0.2">
      <c r="B4859" s="14" t="s">
        <v>9190</v>
      </c>
      <c r="C4859" s="14" t="s">
        <v>9191</v>
      </c>
      <c r="D4859" s="14">
        <v>1</v>
      </c>
      <c r="E4859" s="15">
        <v>245.1</v>
      </c>
      <c r="F4859" s="16" t="s">
        <v>8</v>
      </c>
      <c r="G4859" s="38" t="str">
        <f>HYPERLINK("http://enext.ua/2243430")</f>
        <v>http://enext.ua/2243430</v>
      </c>
    </row>
    <row r="4860" spans="2:7" ht="11.25" outlineLevel="7" x14ac:dyDescent="0.2">
      <c r="B4860" s="14" t="s">
        <v>9192</v>
      </c>
      <c r="C4860" s="14" t="s">
        <v>9193</v>
      </c>
      <c r="D4860" s="14">
        <v>1</v>
      </c>
      <c r="E4860" s="15">
        <v>293.66000000000003</v>
      </c>
      <c r="F4860" s="16" t="s">
        <v>8</v>
      </c>
      <c r="G4860" s="38" t="str">
        <f>HYPERLINK("http://enext.ua/2244430")</f>
        <v>http://enext.ua/2244430</v>
      </c>
    </row>
    <row r="4861" spans="2:7" ht="11.25" outlineLevel="7" x14ac:dyDescent="0.2">
      <c r="B4861" s="14" t="s">
        <v>9194</v>
      </c>
      <c r="C4861" s="14" t="s">
        <v>9195</v>
      </c>
      <c r="D4861" s="14">
        <v>1</v>
      </c>
      <c r="E4861" s="15">
        <v>310.75</v>
      </c>
      <c r="F4861" s="16" t="s">
        <v>8</v>
      </c>
      <c r="G4861" s="38" t="str">
        <f>HYPERLINK("http://enext.ua/2245430")</f>
        <v>http://enext.ua/2245430</v>
      </c>
    </row>
    <row r="4862" spans="2:7" ht="11.25" outlineLevel="7" x14ac:dyDescent="0.2">
      <c r="B4862" s="14" t="s">
        <v>9196</v>
      </c>
      <c r="C4862" s="14" t="s">
        <v>9197</v>
      </c>
      <c r="D4862" s="14">
        <v>1</v>
      </c>
      <c r="E4862" s="15">
        <v>382.86</v>
      </c>
      <c r="F4862" s="16" t="s">
        <v>8</v>
      </c>
      <c r="G4862" s="14"/>
    </row>
    <row r="4863" spans="2:7" ht="11.25" outlineLevel="7" x14ac:dyDescent="0.2">
      <c r="B4863" s="14" t="s">
        <v>9198</v>
      </c>
      <c r="C4863" s="14" t="s">
        <v>9199</v>
      </c>
      <c r="D4863" s="14">
        <v>1</v>
      </c>
      <c r="E4863" s="15">
        <v>424.94</v>
      </c>
      <c r="F4863" s="16" t="s">
        <v>8</v>
      </c>
      <c r="G4863" s="14"/>
    </row>
    <row r="4864" spans="2:7" ht="11.25" outlineLevel="7" x14ac:dyDescent="0.2">
      <c r="B4864" s="14" t="s">
        <v>9200</v>
      </c>
      <c r="C4864" s="14" t="s">
        <v>9201</v>
      </c>
      <c r="D4864" s="14">
        <v>1</v>
      </c>
      <c r="E4864" s="15">
        <v>538.28</v>
      </c>
      <c r="F4864" s="16" t="s">
        <v>8</v>
      </c>
      <c r="G4864" s="14"/>
    </row>
    <row r="4865" spans="2:7" ht="11.25" outlineLevel="7" x14ac:dyDescent="0.2">
      <c r="B4865" s="14" t="s">
        <v>9202</v>
      </c>
      <c r="C4865" s="14" t="s">
        <v>9203</v>
      </c>
      <c r="D4865" s="14">
        <v>1</v>
      </c>
      <c r="E4865" s="15">
        <v>659.46</v>
      </c>
      <c r="F4865" s="16" t="s">
        <v>8</v>
      </c>
      <c r="G4865" s="14"/>
    </row>
    <row r="4866" spans="2:7" ht="12" outlineLevel="6" x14ac:dyDescent="0.2">
      <c r="B4866" s="18"/>
      <c r="C4866" s="39" t="s">
        <v>9204</v>
      </c>
      <c r="D4866" s="18"/>
      <c r="E4866" s="19"/>
      <c r="F4866" s="19"/>
      <c r="G4866" s="18"/>
    </row>
    <row r="4867" spans="2:7" ht="11.25" outlineLevel="7" x14ac:dyDescent="0.2">
      <c r="B4867" s="14" t="s">
        <v>9205</v>
      </c>
      <c r="C4867" s="14" t="s">
        <v>9206</v>
      </c>
      <c r="D4867" s="14">
        <v>1</v>
      </c>
      <c r="E4867" s="15">
        <v>117.95</v>
      </c>
      <c r="F4867" s="16" t="s">
        <v>8</v>
      </c>
      <c r="G4867" s="38" t="str">
        <f>HYPERLINK("http://enext.ua/2243031")</f>
        <v>http://enext.ua/2243031</v>
      </c>
    </row>
    <row r="4868" spans="2:7" ht="11.25" outlineLevel="7" x14ac:dyDescent="0.2">
      <c r="B4868" s="14" t="s">
        <v>9207</v>
      </c>
      <c r="C4868" s="14" t="s">
        <v>9208</v>
      </c>
      <c r="D4868" s="14">
        <v>1</v>
      </c>
      <c r="E4868" s="15">
        <v>131.9</v>
      </c>
      <c r="F4868" s="16" t="s">
        <v>8</v>
      </c>
      <c r="G4868" s="38" t="str">
        <f>HYPERLINK("http://enext.ua/2244031")</f>
        <v>http://enext.ua/2244031</v>
      </c>
    </row>
    <row r="4869" spans="2:7" ht="11.25" outlineLevel="7" x14ac:dyDescent="0.2">
      <c r="B4869" s="14" t="s">
        <v>9209</v>
      </c>
      <c r="C4869" s="14" t="s">
        <v>9210</v>
      </c>
      <c r="D4869" s="14">
        <v>1</v>
      </c>
      <c r="E4869" s="15">
        <v>139.19</v>
      </c>
      <c r="F4869" s="16" t="s">
        <v>8</v>
      </c>
      <c r="G4869" s="38" t="str">
        <f>HYPERLINK("http://enext.ua/2245031")</f>
        <v>http://enext.ua/2245031</v>
      </c>
    </row>
    <row r="4870" spans="2:7" ht="11.25" outlineLevel="7" x14ac:dyDescent="0.2">
      <c r="B4870" s="14" t="s">
        <v>9211</v>
      </c>
      <c r="C4870" s="14" t="s">
        <v>9212</v>
      </c>
      <c r="D4870" s="14">
        <v>1</v>
      </c>
      <c r="E4870" s="15">
        <v>168.64</v>
      </c>
      <c r="F4870" s="16" t="s">
        <v>8</v>
      </c>
      <c r="G4870" s="38" t="str">
        <f>HYPERLINK("http://enext.ua/2246031")</f>
        <v>http://enext.ua/2246031</v>
      </c>
    </row>
    <row r="4871" spans="2:7" ht="11.25" outlineLevel="7" x14ac:dyDescent="0.2">
      <c r="B4871" s="14" t="s">
        <v>9213</v>
      </c>
      <c r="C4871" s="14" t="s">
        <v>9214</v>
      </c>
      <c r="D4871" s="14">
        <v>1</v>
      </c>
      <c r="E4871" s="15">
        <v>205.22</v>
      </c>
      <c r="F4871" s="16" t="s">
        <v>8</v>
      </c>
      <c r="G4871" s="38" t="str">
        <f>HYPERLINK("http://enext.ua/2247031")</f>
        <v>http://enext.ua/2247031</v>
      </c>
    </row>
    <row r="4872" spans="2:7" ht="11.25" outlineLevel="7" x14ac:dyDescent="0.2">
      <c r="B4872" s="14" t="s">
        <v>9215</v>
      </c>
      <c r="C4872" s="14" t="s">
        <v>9216</v>
      </c>
      <c r="D4872" s="14">
        <v>1</v>
      </c>
      <c r="E4872" s="15">
        <v>91.56</v>
      </c>
      <c r="F4872" s="16" t="s">
        <v>8</v>
      </c>
      <c r="G4872" s="38" t="str">
        <f>HYPERLINK("http://enext.ua/2241031")</f>
        <v>http://enext.ua/2241031</v>
      </c>
    </row>
    <row r="4873" spans="2:7" ht="11.25" outlineLevel="7" x14ac:dyDescent="0.2">
      <c r="B4873" s="14" t="s">
        <v>9217</v>
      </c>
      <c r="C4873" s="14" t="s">
        <v>9218</v>
      </c>
      <c r="D4873" s="14">
        <v>1</v>
      </c>
      <c r="E4873" s="15">
        <v>250.3</v>
      </c>
      <c r="F4873" s="16" t="s">
        <v>8</v>
      </c>
      <c r="G4873" s="14"/>
    </row>
    <row r="4874" spans="2:7" ht="11.25" outlineLevel="7" x14ac:dyDescent="0.2">
      <c r="B4874" s="14" t="s">
        <v>9219</v>
      </c>
      <c r="C4874" s="14" t="s">
        <v>9220</v>
      </c>
      <c r="D4874" s="14">
        <v>1</v>
      </c>
      <c r="E4874" s="15">
        <v>355.66</v>
      </c>
      <c r="F4874" s="16" t="s">
        <v>8</v>
      </c>
      <c r="G4874" s="14"/>
    </row>
    <row r="4875" spans="2:7" ht="11.25" outlineLevel="7" x14ac:dyDescent="0.2">
      <c r="B4875" s="14" t="s">
        <v>9221</v>
      </c>
      <c r="C4875" s="14" t="s">
        <v>9222</v>
      </c>
      <c r="D4875" s="14">
        <v>1</v>
      </c>
      <c r="E4875" s="15">
        <v>105.64</v>
      </c>
      <c r="F4875" s="16" t="s">
        <v>8</v>
      </c>
      <c r="G4875" s="14"/>
    </row>
    <row r="4876" spans="2:7" ht="12" outlineLevel="5" x14ac:dyDescent="0.2">
      <c r="B4876" s="18"/>
      <c r="C4876" s="39" t="s">
        <v>9223</v>
      </c>
      <c r="D4876" s="18"/>
      <c r="E4876" s="19"/>
      <c r="F4876" s="19"/>
      <c r="G4876" s="18"/>
    </row>
    <row r="4877" spans="2:7" ht="12" outlineLevel="6" x14ac:dyDescent="0.2">
      <c r="B4877" s="18"/>
      <c r="C4877" s="39" t="s">
        <v>9224</v>
      </c>
      <c r="D4877" s="18"/>
      <c r="E4877" s="19"/>
      <c r="F4877" s="19"/>
      <c r="G4877" s="18"/>
    </row>
    <row r="4878" spans="2:7" ht="11.25" outlineLevel="7" x14ac:dyDescent="0.2">
      <c r="B4878" s="14" t="s">
        <v>9225</v>
      </c>
      <c r="C4878" s="14" t="s">
        <v>9226</v>
      </c>
      <c r="D4878" s="14">
        <v>1</v>
      </c>
      <c r="E4878" s="15">
        <v>204.71</v>
      </c>
      <c r="F4878" s="16" t="s">
        <v>8</v>
      </c>
      <c r="G4878" s="14"/>
    </row>
    <row r="4879" spans="2:7" ht="11.25" outlineLevel="7" x14ac:dyDescent="0.2">
      <c r="B4879" s="14" t="s">
        <v>9227</v>
      </c>
      <c r="C4879" s="14" t="s">
        <v>9228</v>
      </c>
      <c r="D4879" s="14">
        <v>1</v>
      </c>
      <c r="E4879" s="15">
        <v>230.04</v>
      </c>
      <c r="F4879" s="16" t="s">
        <v>8</v>
      </c>
      <c r="G4879" s="14"/>
    </row>
    <row r="4880" spans="2:7" ht="11.25" outlineLevel="7" x14ac:dyDescent="0.2">
      <c r="B4880" s="14" t="s">
        <v>9229</v>
      </c>
      <c r="C4880" s="14" t="s">
        <v>9230</v>
      </c>
      <c r="D4880" s="14">
        <v>1</v>
      </c>
      <c r="E4880" s="15">
        <v>270.14</v>
      </c>
      <c r="F4880" s="16" t="s">
        <v>8</v>
      </c>
      <c r="G4880" s="14"/>
    </row>
    <row r="4881" spans="2:7" ht="11.25" outlineLevel="7" x14ac:dyDescent="0.2">
      <c r="B4881" s="14" t="s">
        <v>9231</v>
      </c>
      <c r="C4881" s="14" t="s">
        <v>9232</v>
      </c>
      <c r="D4881" s="14">
        <v>1</v>
      </c>
      <c r="E4881" s="15">
        <v>324.92</v>
      </c>
      <c r="F4881" s="16" t="s">
        <v>8</v>
      </c>
      <c r="G4881" s="14"/>
    </row>
    <row r="4882" spans="2:7" ht="11.25" outlineLevel="7" x14ac:dyDescent="0.2">
      <c r="B4882" s="14" t="s">
        <v>9233</v>
      </c>
      <c r="C4882" s="14" t="s">
        <v>9234</v>
      </c>
      <c r="D4882" s="14">
        <v>1</v>
      </c>
      <c r="E4882" s="15">
        <v>195.06</v>
      </c>
      <c r="F4882" s="16" t="s">
        <v>8</v>
      </c>
      <c r="G4882" s="14"/>
    </row>
    <row r="4883" spans="2:7" ht="11.25" outlineLevel="7" x14ac:dyDescent="0.2">
      <c r="B4883" s="14" t="s">
        <v>9235</v>
      </c>
      <c r="C4883" s="14" t="s">
        <v>9236</v>
      </c>
      <c r="D4883" s="14">
        <v>1</v>
      </c>
      <c r="E4883" s="15">
        <v>201.08</v>
      </c>
      <c r="F4883" s="16" t="s">
        <v>8</v>
      </c>
      <c r="G4883" s="14"/>
    </row>
    <row r="4884" spans="2:7" ht="12" outlineLevel="6" x14ac:dyDescent="0.2">
      <c r="B4884" s="18"/>
      <c r="C4884" s="39" t="s">
        <v>9237</v>
      </c>
      <c r="D4884" s="18"/>
      <c r="E4884" s="19"/>
      <c r="F4884" s="19"/>
      <c r="G4884" s="18"/>
    </row>
    <row r="4885" spans="2:7" ht="11.25" outlineLevel="7" x14ac:dyDescent="0.2">
      <c r="B4885" s="14" t="s">
        <v>9238</v>
      </c>
      <c r="C4885" s="14" t="s">
        <v>9239</v>
      </c>
      <c r="D4885" s="14">
        <v>1</v>
      </c>
      <c r="E4885" s="15">
        <v>196.34</v>
      </c>
      <c r="F4885" s="16" t="s">
        <v>8</v>
      </c>
      <c r="G4885" s="14"/>
    </row>
    <row r="4886" spans="2:7" ht="11.25" outlineLevel="7" x14ac:dyDescent="0.2">
      <c r="B4886" s="14" t="s">
        <v>9240</v>
      </c>
      <c r="C4886" s="14" t="s">
        <v>9241</v>
      </c>
      <c r="D4886" s="14">
        <v>1</v>
      </c>
      <c r="E4886" s="15">
        <v>217.42</v>
      </c>
      <c r="F4886" s="16" t="s">
        <v>8</v>
      </c>
      <c r="G4886" s="14"/>
    </row>
    <row r="4887" spans="2:7" ht="11.25" outlineLevel="7" x14ac:dyDescent="0.2">
      <c r="B4887" s="14" t="s">
        <v>9242</v>
      </c>
      <c r="C4887" s="14" t="s">
        <v>9243</v>
      </c>
      <c r="D4887" s="14">
        <v>1</v>
      </c>
      <c r="E4887" s="15">
        <v>251.4</v>
      </c>
      <c r="F4887" s="16" t="s">
        <v>8</v>
      </c>
      <c r="G4887" s="38" t="str">
        <f>HYPERLINK("http://enext.ua/2265230")</f>
        <v>http://enext.ua/2265230</v>
      </c>
    </row>
    <row r="4888" spans="2:7" ht="11.25" outlineLevel="7" x14ac:dyDescent="0.2">
      <c r="B4888" s="14" t="s">
        <v>9244</v>
      </c>
      <c r="C4888" s="14" t="s">
        <v>9245</v>
      </c>
      <c r="D4888" s="14">
        <v>1</v>
      </c>
      <c r="E4888" s="15">
        <v>313.14999999999998</v>
      </c>
      <c r="F4888" s="16" t="s">
        <v>8</v>
      </c>
      <c r="G4888" s="38" t="str">
        <f>HYPERLINK("http://enext.ua/2266230")</f>
        <v>http://enext.ua/2266230</v>
      </c>
    </row>
    <row r="4889" spans="2:7" ht="11.25" outlineLevel="7" x14ac:dyDescent="0.2">
      <c r="B4889" s="14" t="s">
        <v>9246</v>
      </c>
      <c r="C4889" s="14" t="s">
        <v>9247</v>
      </c>
      <c r="D4889" s="14">
        <v>1</v>
      </c>
      <c r="E4889" s="15">
        <v>361.4</v>
      </c>
      <c r="F4889" s="16" t="s">
        <v>8</v>
      </c>
      <c r="G4889" s="14"/>
    </row>
    <row r="4890" spans="2:7" ht="11.25" outlineLevel="7" x14ac:dyDescent="0.2">
      <c r="B4890" s="14" t="s">
        <v>9248</v>
      </c>
      <c r="C4890" s="14" t="s">
        <v>9249</v>
      </c>
      <c r="D4890" s="14">
        <v>1</v>
      </c>
      <c r="E4890" s="15">
        <v>495.46</v>
      </c>
      <c r="F4890" s="16" t="s">
        <v>8</v>
      </c>
      <c r="G4890" s="14"/>
    </row>
    <row r="4891" spans="2:7" ht="11.25" outlineLevel="7" x14ac:dyDescent="0.2">
      <c r="B4891" s="14" t="s">
        <v>9250</v>
      </c>
      <c r="C4891" s="14" t="s">
        <v>9251</v>
      </c>
      <c r="D4891" s="14">
        <v>1</v>
      </c>
      <c r="E4891" s="15">
        <v>185</v>
      </c>
      <c r="F4891" s="16" t="s">
        <v>8</v>
      </c>
      <c r="G4891" s="38" t="str">
        <f>HYPERLINK("http://enext.ua/2261230")</f>
        <v>http://enext.ua/2261230</v>
      </c>
    </row>
    <row r="4892" spans="2:7" ht="11.25" outlineLevel="7" x14ac:dyDescent="0.2">
      <c r="B4892" s="14" t="s">
        <v>9252</v>
      </c>
      <c r="C4892" s="14" t="s">
        <v>9253</v>
      </c>
      <c r="D4892" s="14">
        <v>1</v>
      </c>
      <c r="E4892" s="15">
        <v>551.22</v>
      </c>
      <c r="F4892" s="16" t="s">
        <v>8</v>
      </c>
      <c r="G4892" s="14"/>
    </row>
    <row r="4893" spans="2:7" ht="12" outlineLevel="6" x14ac:dyDescent="0.2">
      <c r="B4893" s="18"/>
      <c r="C4893" s="39" t="s">
        <v>9254</v>
      </c>
      <c r="D4893" s="18"/>
      <c r="E4893" s="19"/>
      <c r="F4893" s="19"/>
      <c r="G4893" s="18"/>
    </row>
    <row r="4894" spans="2:7" ht="11.25" outlineLevel="7" x14ac:dyDescent="0.2">
      <c r="B4894" s="14" t="s">
        <v>9255</v>
      </c>
      <c r="C4894" s="14" t="s">
        <v>9256</v>
      </c>
      <c r="D4894" s="14">
        <v>1</v>
      </c>
      <c r="E4894" s="15">
        <v>212.33</v>
      </c>
      <c r="F4894" s="16" t="s">
        <v>8</v>
      </c>
      <c r="G4894" s="14"/>
    </row>
    <row r="4895" spans="2:7" ht="11.25" outlineLevel="7" x14ac:dyDescent="0.2">
      <c r="B4895" s="14" t="s">
        <v>9257</v>
      </c>
      <c r="C4895" s="14" t="s">
        <v>9258</v>
      </c>
      <c r="D4895" s="14">
        <v>1</v>
      </c>
      <c r="E4895" s="15">
        <v>231.12</v>
      </c>
      <c r="F4895" s="16" t="s">
        <v>8</v>
      </c>
      <c r="G4895" s="14"/>
    </row>
    <row r="4896" spans="2:7" ht="11.25" outlineLevel="7" x14ac:dyDescent="0.2">
      <c r="B4896" s="14" t="s">
        <v>9259</v>
      </c>
      <c r="C4896" s="14" t="s">
        <v>9260</v>
      </c>
      <c r="D4896" s="14">
        <v>1</v>
      </c>
      <c r="E4896" s="15">
        <v>272.52</v>
      </c>
      <c r="F4896" s="16" t="s">
        <v>8</v>
      </c>
      <c r="G4896" s="14"/>
    </row>
    <row r="4897" spans="2:7" ht="11.25" outlineLevel="7" x14ac:dyDescent="0.2">
      <c r="B4897" s="14" t="s">
        <v>9261</v>
      </c>
      <c r="C4897" s="14" t="s">
        <v>9262</v>
      </c>
      <c r="D4897" s="14">
        <v>1</v>
      </c>
      <c r="E4897" s="15">
        <v>339.34</v>
      </c>
      <c r="F4897" s="16" t="s">
        <v>8</v>
      </c>
      <c r="G4897" s="14"/>
    </row>
    <row r="4898" spans="2:7" ht="11.25" outlineLevel="7" x14ac:dyDescent="0.2">
      <c r="B4898" s="14" t="s">
        <v>9263</v>
      </c>
      <c r="C4898" s="14" t="s">
        <v>9264</v>
      </c>
      <c r="D4898" s="14">
        <v>1</v>
      </c>
      <c r="E4898" s="15">
        <v>413.76</v>
      </c>
      <c r="F4898" s="16" t="s">
        <v>8</v>
      </c>
      <c r="G4898" s="14"/>
    </row>
    <row r="4899" spans="2:7" ht="11.25" outlineLevel="7" x14ac:dyDescent="0.2">
      <c r="B4899" s="14" t="s">
        <v>9265</v>
      </c>
      <c r="C4899" s="14" t="s">
        <v>9266</v>
      </c>
      <c r="D4899" s="14">
        <v>1</v>
      </c>
      <c r="E4899" s="15">
        <v>423.7</v>
      </c>
      <c r="F4899" s="16" t="s">
        <v>8</v>
      </c>
      <c r="G4899" s="14"/>
    </row>
    <row r="4900" spans="2:7" ht="11.25" outlineLevel="7" x14ac:dyDescent="0.2">
      <c r="B4900" s="14" t="s">
        <v>9267</v>
      </c>
      <c r="C4900" s="14" t="s">
        <v>9268</v>
      </c>
      <c r="D4900" s="14">
        <v>1</v>
      </c>
      <c r="E4900" s="15">
        <v>572</v>
      </c>
      <c r="F4900" s="16" t="s">
        <v>8</v>
      </c>
      <c r="G4900" s="14"/>
    </row>
    <row r="4901" spans="2:7" ht="11.25" outlineLevel="7" x14ac:dyDescent="0.2">
      <c r="B4901" s="14" t="s">
        <v>9269</v>
      </c>
      <c r="C4901" s="14" t="s">
        <v>9270</v>
      </c>
      <c r="D4901" s="14">
        <v>1</v>
      </c>
      <c r="E4901" s="15">
        <v>204.11</v>
      </c>
      <c r="F4901" s="16" t="s">
        <v>8</v>
      </c>
      <c r="G4901" s="14"/>
    </row>
    <row r="4902" spans="2:7" ht="12" outlineLevel="6" x14ac:dyDescent="0.2">
      <c r="B4902" s="18"/>
      <c r="C4902" s="39" t="s">
        <v>9271</v>
      </c>
      <c r="D4902" s="18"/>
      <c r="E4902" s="19"/>
      <c r="F4902" s="19"/>
      <c r="G4902" s="18"/>
    </row>
    <row r="4903" spans="2:7" ht="11.25" outlineLevel="7" x14ac:dyDescent="0.2">
      <c r="B4903" s="14" t="s">
        <v>9272</v>
      </c>
      <c r="C4903" s="14" t="s">
        <v>9273</v>
      </c>
      <c r="D4903" s="14">
        <v>1</v>
      </c>
      <c r="E4903" s="15">
        <v>224.52</v>
      </c>
      <c r="F4903" s="16" t="s">
        <v>8</v>
      </c>
      <c r="G4903" s="14"/>
    </row>
    <row r="4904" spans="2:7" ht="11.25" outlineLevel="7" x14ac:dyDescent="0.2">
      <c r="B4904" s="14" t="s">
        <v>9274</v>
      </c>
      <c r="C4904" s="14" t="s">
        <v>9275</v>
      </c>
      <c r="D4904" s="14">
        <v>1</v>
      </c>
      <c r="E4904" s="15">
        <v>242.59</v>
      </c>
      <c r="F4904" s="16" t="s">
        <v>8</v>
      </c>
      <c r="G4904" s="14"/>
    </row>
    <row r="4905" spans="2:7" ht="11.25" outlineLevel="7" x14ac:dyDescent="0.2">
      <c r="B4905" s="14" t="s">
        <v>9276</v>
      </c>
      <c r="C4905" s="14" t="s">
        <v>9277</v>
      </c>
      <c r="D4905" s="14">
        <v>1</v>
      </c>
      <c r="E4905" s="15">
        <v>286.86</v>
      </c>
      <c r="F4905" s="16" t="s">
        <v>8</v>
      </c>
      <c r="G4905" s="14"/>
    </row>
    <row r="4906" spans="2:7" ht="11.25" outlineLevel="7" x14ac:dyDescent="0.2">
      <c r="B4906" s="14" t="s">
        <v>9278</v>
      </c>
      <c r="C4906" s="14" t="s">
        <v>9279</v>
      </c>
      <c r="D4906" s="14">
        <v>1</v>
      </c>
      <c r="E4906" s="15">
        <v>353.6</v>
      </c>
      <c r="F4906" s="16" t="s">
        <v>8</v>
      </c>
      <c r="G4906" s="14"/>
    </row>
    <row r="4907" spans="2:7" ht="11.25" outlineLevel="7" x14ac:dyDescent="0.2">
      <c r="B4907" s="14" t="s">
        <v>9280</v>
      </c>
      <c r="C4907" s="14" t="s">
        <v>9281</v>
      </c>
      <c r="D4907" s="14">
        <v>1</v>
      </c>
      <c r="E4907" s="15">
        <v>390.32</v>
      </c>
      <c r="F4907" s="16" t="s">
        <v>8</v>
      </c>
      <c r="G4907" s="14"/>
    </row>
    <row r="4908" spans="2:7" ht="11.25" outlineLevel="7" x14ac:dyDescent="0.2">
      <c r="B4908" s="14" t="s">
        <v>9282</v>
      </c>
      <c r="C4908" s="14" t="s">
        <v>9283</v>
      </c>
      <c r="D4908" s="14">
        <v>1</v>
      </c>
      <c r="E4908" s="15">
        <v>448.82</v>
      </c>
      <c r="F4908" s="16" t="s">
        <v>8</v>
      </c>
      <c r="G4908" s="14"/>
    </row>
    <row r="4909" spans="2:7" ht="11.25" outlineLevel="7" x14ac:dyDescent="0.2">
      <c r="B4909" s="14" t="s">
        <v>9284</v>
      </c>
      <c r="C4909" s="14" t="s">
        <v>9285</v>
      </c>
      <c r="D4909" s="14">
        <v>1</v>
      </c>
      <c r="E4909" s="15">
        <v>631.03</v>
      </c>
      <c r="F4909" s="16" t="s">
        <v>8</v>
      </c>
      <c r="G4909" s="14"/>
    </row>
    <row r="4910" spans="2:7" ht="12" outlineLevel="6" x14ac:dyDescent="0.2">
      <c r="B4910" s="18"/>
      <c r="C4910" s="39" t="s">
        <v>9286</v>
      </c>
      <c r="D4910" s="18"/>
      <c r="E4910" s="19"/>
      <c r="F4910" s="19"/>
      <c r="G4910" s="18"/>
    </row>
    <row r="4911" spans="2:7" ht="11.25" outlineLevel="7" x14ac:dyDescent="0.2">
      <c r="B4911" s="14" t="s">
        <v>9287</v>
      </c>
      <c r="C4911" s="14" t="s">
        <v>9288</v>
      </c>
      <c r="D4911" s="14">
        <v>1</v>
      </c>
      <c r="E4911" s="15">
        <v>104.59</v>
      </c>
      <c r="F4911" s="16" t="s">
        <v>8</v>
      </c>
      <c r="G4911" s="14"/>
    </row>
    <row r="4912" spans="2:7" ht="11.25" outlineLevel="7" x14ac:dyDescent="0.2">
      <c r="B4912" s="14" t="s">
        <v>9289</v>
      </c>
      <c r="C4912" s="14" t="s">
        <v>9290</v>
      </c>
      <c r="D4912" s="14">
        <v>1</v>
      </c>
      <c r="E4912" s="15">
        <v>123.3</v>
      </c>
      <c r="F4912" s="16" t="s">
        <v>8</v>
      </c>
      <c r="G4912" s="14"/>
    </row>
    <row r="4913" spans="2:7" ht="11.25" outlineLevel="7" x14ac:dyDescent="0.2">
      <c r="B4913" s="14" t="s">
        <v>9291</v>
      </c>
      <c r="C4913" s="14" t="s">
        <v>9292</v>
      </c>
      <c r="D4913" s="14">
        <v>1</v>
      </c>
      <c r="E4913" s="15">
        <v>135.72</v>
      </c>
      <c r="F4913" s="16" t="s">
        <v>8</v>
      </c>
      <c r="G4913" s="38" t="str">
        <f>HYPERLINK("http://enext.ua/2265031")</f>
        <v>http://enext.ua/2265031</v>
      </c>
    </row>
    <row r="4914" spans="2:7" ht="11.25" outlineLevel="7" x14ac:dyDescent="0.2">
      <c r="B4914" s="14" t="s">
        <v>9293</v>
      </c>
      <c r="C4914" s="14" t="s">
        <v>9294</v>
      </c>
      <c r="D4914" s="14">
        <v>1</v>
      </c>
      <c r="E4914" s="15">
        <v>149.32</v>
      </c>
      <c r="F4914" s="16" t="s">
        <v>8</v>
      </c>
      <c r="G4914" s="38" t="str">
        <f>HYPERLINK("http://enext.ua/2266031")</f>
        <v>http://enext.ua/2266031</v>
      </c>
    </row>
    <row r="4915" spans="2:7" ht="11.25" outlineLevel="7" x14ac:dyDescent="0.2">
      <c r="B4915" s="14" t="s">
        <v>9295</v>
      </c>
      <c r="C4915" s="14" t="s">
        <v>9296</v>
      </c>
      <c r="D4915" s="14">
        <v>1</v>
      </c>
      <c r="E4915" s="15">
        <v>193.16</v>
      </c>
      <c r="F4915" s="16" t="s">
        <v>8</v>
      </c>
      <c r="G4915" s="14"/>
    </row>
    <row r="4916" spans="2:7" ht="11.25" outlineLevel="7" x14ac:dyDescent="0.2">
      <c r="B4916" s="14" t="s">
        <v>9297</v>
      </c>
      <c r="C4916" s="14" t="s">
        <v>9298</v>
      </c>
      <c r="D4916" s="14">
        <v>1</v>
      </c>
      <c r="E4916" s="15">
        <v>90.26</v>
      </c>
      <c r="F4916" s="16" t="s">
        <v>8</v>
      </c>
      <c r="G4916" s="14"/>
    </row>
    <row r="4917" spans="2:7" ht="11.25" outlineLevel="7" x14ac:dyDescent="0.2">
      <c r="B4917" s="14" t="s">
        <v>9299</v>
      </c>
      <c r="C4917" s="14" t="s">
        <v>9300</v>
      </c>
      <c r="D4917" s="14">
        <v>1</v>
      </c>
      <c r="E4917" s="15">
        <v>221.98</v>
      </c>
      <c r="F4917" s="16" t="s">
        <v>8</v>
      </c>
      <c r="G4917" s="14"/>
    </row>
    <row r="4918" spans="2:7" ht="11.25" outlineLevel="7" x14ac:dyDescent="0.2">
      <c r="B4918" s="14" t="s">
        <v>9301</v>
      </c>
      <c r="C4918" s="14" t="s">
        <v>9302</v>
      </c>
      <c r="D4918" s="14">
        <v>1</v>
      </c>
      <c r="E4918" s="15">
        <v>284.99</v>
      </c>
      <c r="F4918" s="16" t="s">
        <v>8</v>
      </c>
      <c r="G4918" s="14"/>
    </row>
    <row r="4919" spans="2:7" ht="11.25" outlineLevel="7" x14ac:dyDescent="0.2">
      <c r="B4919" s="14" t="s">
        <v>9303</v>
      </c>
      <c r="C4919" s="14" t="s">
        <v>9304</v>
      </c>
      <c r="D4919" s="14">
        <v>1</v>
      </c>
      <c r="E4919" s="15">
        <v>99.98</v>
      </c>
      <c r="F4919" s="16" t="s">
        <v>8</v>
      </c>
      <c r="G4919" s="14"/>
    </row>
    <row r="4920" spans="2:7" ht="12" outlineLevel="5" x14ac:dyDescent="0.2">
      <c r="B4920" s="18"/>
      <c r="C4920" s="39" t="s">
        <v>9305</v>
      </c>
      <c r="D4920" s="18"/>
      <c r="E4920" s="19"/>
      <c r="F4920" s="19"/>
      <c r="G4920" s="18"/>
    </row>
    <row r="4921" spans="2:7" ht="12" outlineLevel="6" x14ac:dyDescent="0.2">
      <c r="B4921" s="18"/>
      <c r="C4921" s="39" t="s">
        <v>9306</v>
      </c>
      <c r="D4921" s="18"/>
      <c r="E4921" s="19"/>
      <c r="F4921" s="19"/>
      <c r="G4921" s="18"/>
    </row>
    <row r="4922" spans="2:7" ht="11.25" outlineLevel="7" x14ac:dyDescent="0.2">
      <c r="B4922" s="14" t="s">
        <v>9307</v>
      </c>
      <c r="C4922" s="14" t="s">
        <v>9308</v>
      </c>
      <c r="D4922" s="14">
        <v>1</v>
      </c>
      <c r="E4922" s="15">
        <v>198.31</v>
      </c>
      <c r="F4922" s="16" t="s">
        <v>8</v>
      </c>
      <c r="G4922" s="14"/>
    </row>
    <row r="4923" spans="2:7" ht="11.25" outlineLevel="7" x14ac:dyDescent="0.2">
      <c r="B4923" s="14" t="s">
        <v>9309</v>
      </c>
      <c r="C4923" s="14" t="s">
        <v>9310</v>
      </c>
      <c r="D4923" s="14">
        <v>1</v>
      </c>
      <c r="E4923" s="15">
        <v>232.18</v>
      </c>
      <c r="F4923" s="16" t="s">
        <v>8</v>
      </c>
      <c r="G4923" s="14"/>
    </row>
    <row r="4924" spans="2:7" ht="11.25" outlineLevel="7" x14ac:dyDescent="0.2">
      <c r="B4924" s="14" t="s">
        <v>9311</v>
      </c>
      <c r="C4924" s="14" t="s">
        <v>9312</v>
      </c>
      <c r="D4924" s="14">
        <v>1</v>
      </c>
      <c r="E4924" s="15">
        <v>273.49</v>
      </c>
      <c r="F4924" s="16" t="s">
        <v>8</v>
      </c>
      <c r="G4924" s="14"/>
    </row>
    <row r="4925" spans="2:7" ht="11.25" outlineLevel="7" x14ac:dyDescent="0.2">
      <c r="B4925" s="14" t="s">
        <v>9313</v>
      </c>
      <c r="C4925" s="14" t="s">
        <v>9314</v>
      </c>
      <c r="D4925" s="14">
        <v>1</v>
      </c>
      <c r="E4925" s="15">
        <v>316.60000000000002</v>
      </c>
      <c r="F4925" s="16" t="s">
        <v>8</v>
      </c>
      <c r="G4925" s="14"/>
    </row>
    <row r="4926" spans="2:7" ht="11.25" outlineLevel="7" x14ac:dyDescent="0.2">
      <c r="B4926" s="14" t="s">
        <v>9315</v>
      </c>
      <c r="C4926" s="14" t="s">
        <v>9316</v>
      </c>
      <c r="D4926" s="14">
        <v>1</v>
      </c>
      <c r="E4926" s="15">
        <v>184.79</v>
      </c>
      <c r="F4926" s="16" t="s">
        <v>8</v>
      </c>
      <c r="G4926" s="14"/>
    </row>
    <row r="4927" spans="2:7" ht="11.25" outlineLevel="7" x14ac:dyDescent="0.2">
      <c r="B4927" s="14" t="s">
        <v>9317</v>
      </c>
      <c r="C4927" s="14" t="s">
        <v>9318</v>
      </c>
      <c r="D4927" s="14">
        <v>1</v>
      </c>
      <c r="E4927" s="15">
        <v>193.2</v>
      </c>
      <c r="F4927" s="16" t="s">
        <v>8</v>
      </c>
      <c r="G4927" s="14"/>
    </row>
    <row r="4928" spans="2:7" ht="12" outlineLevel="6" x14ac:dyDescent="0.2">
      <c r="B4928" s="18"/>
      <c r="C4928" s="39" t="s">
        <v>9319</v>
      </c>
      <c r="D4928" s="18"/>
      <c r="E4928" s="19"/>
      <c r="F4928" s="19"/>
      <c r="G4928" s="18"/>
    </row>
    <row r="4929" spans="2:7" ht="11.25" outlineLevel="7" x14ac:dyDescent="0.2">
      <c r="B4929" s="14" t="s">
        <v>9320</v>
      </c>
      <c r="C4929" s="14" t="s">
        <v>8701</v>
      </c>
      <c r="D4929" s="14">
        <v>1</v>
      </c>
      <c r="E4929" s="15">
        <v>230.44</v>
      </c>
      <c r="F4929" s="16" t="s">
        <v>8</v>
      </c>
      <c r="G4929" s="38" t="str">
        <f>HYPERLINK("http://enext.ua/2233230")</f>
        <v>http://enext.ua/2233230</v>
      </c>
    </row>
    <row r="4930" spans="2:7" ht="11.25" outlineLevel="7" x14ac:dyDescent="0.2">
      <c r="B4930" s="14" t="s">
        <v>9321</v>
      </c>
      <c r="C4930" s="14" t="s">
        <v>9322</v>
      </c>
      <c r="D4930" s="14">
        <v>1</v>
      </c>
      <c r="E4930" s="15">
        <v>260.23</v>
      </c>
      <c r="F4930" s="16" t="s">
        <v>8</v>
      </c>
      <c r="G4930" s="38" t="str">
        <f>HYPERLINK("http://enext.ua/2234230")</f>
        <v>http://enext.ua/2234230</v>
      </c>
    </row>
    <row r="4931" spans="2:7" ht="11.25" outlineLevel="7" x14ac:dyDescent="0.2">
      <c r="B4931" s="14" t="s">
        <v>9323</v>
      </c>
      <c r="C4931" s="14" t="s">
        <v>9324</v>
      </c>
      <c r="D4931" s="14">
        <v>1</v>
      </c>
      <c r="E4931" s="15">
        <v>300.05</v>
      </c>
      <c r="F4931" s="16" t="s">
        <v>8</v>
      </c>
      <c r="G4931" s="38" t="str">
        <f>HYPERLINK("http://enext.ua/2235230")</f>
        <v>http://enext.ua/2235230</v>
      </c>
    </row>
    <row r="4932" spans="2:7" ht="11.25" outlineLevel="7" x14ac:dyDescent="0.2">
      <c r="B4932" s="14" t="s">
        <v>9325</v>
      </c>
      <c r="C4932" s="14" t="s">
        <v>9326</v>
      </c>
      <c r="D4932" s="14">
        <v>1</v>
      </c>
      <c r="E4932" s="15">
        <v>367.42</v>
      </c>
      <c r="F4932" s="16" t="s">
        <v>8</v>
      </c>
      <c r="G4932" s="38" t="str">
        <f>HYPERLINK("http://enext.ua/2236230")</f>
        <v>http://enext.ua/2236230</v>
      </c>
    </row>
    <row r="4933" spans="2:7" ht="11.25" outlineLevel="7" x14ac:dyDescent="0.2">
      <c r="B4933" s="14" t="s">
        <v>9327</v>
      </c>
      <c r="C4933" s="14" t="s">
        <v>9328</v>
      </c>
      <c r="D4933" s="14">
        <v>1</v>
      </c>
      <c r="E4933" s="15">
        <v>406.36</v>
      </c>
      <c r="F4933" s="16" t="s">
        <v>8</v>
      </c>
      <c r="G4933" s="38" t="str">
        <f>HYPERLINK("http://enext.ua/2237230")</f>
        <v>http://enext.ua/2237230</v>
      </c>
    </row>
    <row r="4934" spans="2:7" ht="11.25" outlineLevel="7" x14ac:dyDescent="0.2">
      <c r="B4934" s="14" t="s">
        <v>9329</v>
      </c>
      <c r="C4934" s="14" t="s">
        <v>9330</v>
      </c>
      <c r="D4934" s="14">
        <v>1</v>
      </c>
      <c r="E4934" s="15">
        <v>474.78</v>
      </c>
      <c r="F4934" s="16" t="s">
        <v>8</v>
      </c>
      <c r="G4934" s="14"/>
    </row>
    <row r="4935" spans="2:7" ht="11.25" outlineLevel="7" x14ac:dyDescent="0.2">
      <c r="B4935" s="14" t="s">
        <v>9331</v>
      </c>
      <c r="C4935" s="14" t="s">
        <v>9332</v>
      </c>
      <c r="D4935" s="14">
        <v>1</v>
      </c>
      <c r="E4935" s="15">
        <v>212.84</v>
      </c>
      <c r="F4935" s="16" t="s">
        <v>8</v>
      </c>
      <c r="G4935" s="38" t="str">
        <f>HYPERLINK("http://enext.ua/2231230")</f>
        <v>http://enext.ua/2231230</v>
      </c>
    </row>
    <row r="4936" spans="2:7" ht="11.25" outlineLevel="7" x14ac:dyDescent="0.2">
      <c r="B4936" s="14" t="s">
        <v>9333</v>
      </c>
      <c r="C4936" s="14" t="s">
        <v>9334</v>
      </c>
      <c r="D4936" s="14">
        <v>1</v>
      </c>
      <c r="E4936" s="15">
        <v>626.63</v>
      </c>
      <c r="F4936" s="16" t="s">
        <v>8</v>
      </c>
      <c r="G4936" s="14"/>
    </row>
    <row r="4937" spans="2:7" ht="12" outlineLevel="6" x14ac:dyDescent="0.2">
      <c r="B4937" s="18"/>
      <c r="C4937" s="39" t="s">
        <v>9335</v>
      </c>
      <c r="D4937" s="18"/>
      <c r="E4937" s="19"/>
      <c r="F4937" s="19"/>
      <c r="G4937" s="18"/>
    </row>
    <row r="4938" spans="2:7" ht="11.25" outlineLevel="7" x14ac:dyDescent="0.2">
      <c r="B4938" s="14" t="s">
        <v>9336</v>
      </c>
      <c r="C4938" s="14" t="s">
        <v>9337</v>
      </c>
      <c r="D4938" s="14">
        <v>1</v>
      </c>
      <c r="E4938" s="15">
        <v>229</v>
      </c>
      <c r="F4938" s="16" t="s">
        <v>8</v>
      </c>
      <c r="G4938" s="38" t="str">
        <f>HYPERLINK("http://enext.ua/2233330")</f>
        <v>http://enext.ua/2233330</v>
      </c>
    </row>
    <row r="4939" spans="2:7" ht="11.25" outlineLevel="7" x14ac:dyDescent="0.2">
      <c r="B4939" s="14" t="s">
        <v>9338</v>
      </c>
      <c r="C4939" s="14" t="s">
        <v>9339</v>
      </c>
      <c r="D4939" s="14">
        <v>1</v>
      </c>
      <c r="E4939" s="15">
        <v>271.60000000000002</v>
      </c>
      <c r="F4939" s="16" t="s">
        <v>8</v>
      </c>
      <c r="G4939" s="38" t="str">
        <f>HYPERLINK("http://enext.ua/2234330")</f>
        <v>http://enext.ua/2234330</v>
      </c>
    </row>
    <row r="4940" spans="2:7" ht="11.25" outlineLevel="7" x14ac:dyDescent="0.2">
      <c r="B4940" s="14" t="s">
        <v>9340</v>
      </c>
      <c r="C4940" s="14" t="s">
        <v>9341</v>
      </c>
      <c r="D4940" s="14">
        <v>1</v>
      </c>
      <c r="E4940" s="15">
        <v>309.77</v>
      </c>
      <c r="F4940" s="16" t="s">
        <v>8</v>
      </c>
      <c r="G4940" s="38" t="str">
        <f>HYPERLINK("http://enext.ua/2235330")</f>
        <v>http://enext.ua/2235330</v>
      </c>
    </row>
    <row r="4941" spans="2:7" ht="11.25" outlineLevel="7" x14ac:dyDescent="0.2">
      <c r="B4941" s="14" t="s">
        <v>9342</v>
      </c>
      <c r="C4941" s="14" t="s">
        <v>8704</v>
      </c>
      <c r="D4941" s="14">
        <v>1</v>
      </c>
      <c r="E4941" s="15">
        <v>380.05</v>
      </c>
      <c r="F4941" s="16" t="s">
        <v>8</v>
      </c>
      <c r="G4941" s="38" t="str">
        <f>HYPERLINK("http://enext.ua/2236330")</f>
        <v>http://enext.ua/2236330</v>
      </c>
    </row>
    <row r="4942" spans="2:7" ht="11.25" outlineLevel="7" x14ac:dyDescent="0.2">
      <c r="B4942" s="14" t="s">
        <v>9343</v>
      </c>
      <c r="C4942" s="14" t="s">
        <v>9344</v>
      </c>
      <c r="D4942" s="14">
        <v>1</v>
      </c>
      <c r="E4942" s="15">
        <v>426.28</v>
      </c>
      <c r="F4942" s="16" t="s">
        <v>8</v>
      </c>
      <c r="G4942" s="14"/>
    </row>
    <row r="4943" spans="2:7" ht="11.25" outlineLevel="7" x14ac:dyDescent="0.2">
      <c r="B4943" s="14" t="s">
        <v>9345</v>
      </c>
      <c r="C4943" s="14" t="s">
        <v>9346</v>
      </c>
      <c r="D4943" s="14">
        <v>1</v>
      </c>
      <c r="E4943" s="15">
        <v>512.35</v>
      </c>
      <c r="F4943" s="16" t="s">
        <v>8</v>
      </c>
      <c r="G4943" s="14"/>
    </row>
    <row r="4944" spans="2:7" ht="11.25" outlineLevel="7" x14ac:dyDescent="0.2">
      <c r="B4944" s="14" t="s">
        <v>9347</v>
      </c>
      <c r="C4944" s="14" t="s">
        <v>9348</v>
      </c>
      <c r="D4944" s="14">
        <v>1</v>
      </c>
      <c r="E4944" s="15">
        <v>638.1</v>
      </c>
      <c r="F4944" s="16" t="s">
        <v>8</v>
      </c>
      <c r="G4944" s="14"/>
    </row>
    <row r="4945" spans="2:7" ht="11.25" outlineLevel="7" x14ac:dyDescent="0.2">
      <c r="B4945" s="14" t="s">
        <v>9349</v>
      </c>
      <c r="C4945" s="14" t="s">
        <v>9350</v>
      </c>
      <c r="D4945" s="14">
        <v>1</v>
      </c>
      <c r="E4945" s="15">
        <v>246.89</v>
      </c>
      <c r="F4945" s="16" t="s">
        <v>8</v>
      </c>
      <c r="G4945" s="14"/>
    </row>
    <row r="4946" spans="2:7" ht="12" outlineLevel="6" x14ac:dyDescent="0.2">
      <c r="B4946" s="18"/>
      <c r="C4946" s="39" t="s">
        <v>9351</v>
      </c>
      <c r="D4946" s="18"/>
      <c r="E4946" s="19"/>
      <c r="F4946" s="19"/>
      <c r="G4946" s="18"/>
    </row>
    <row r="4947" spans="2:7" ht="11.25" outlineLevel="7" x14ac:dyDescent="0.2">
      <c r="B4947" s="14" t="s">
        <v>9352</v>
      </c>
      <c r="C4947" s="14" t="s">
        <v>9353</v>
      </c>
      <c r="D4947" s="14">
        <v>1</v>
      </c>
      <c r="E4947" s="15">
        <v>247</v>
      </c>
      <c r="F4947" s="16" t="s">
        <v>8</v>
      </c>
      <c r="G4947" s="38" t="str">
        <f>HYPERLINK("http://enext.ua/2233430")</f>
        <v>http://enext.ua/2233430</v>
      </c>
    </row>
    <row r="4948" spans="2:7" ht="11.25" outlineLevel="7" x14ac:dyDescent="0.2">
      <c r="B4948" s="14" t="s">
        <v>9354</v>
      </c>
      <c r="C4948" s="14" t="s">
        <v>9355</v>
      </c>
      <c r="D4948" s="14">
        <v>1</v>
      </c>
      <c r="E4948" s="15">
        <v>292.02999999999997</v>
      </c>
      <c r="F4948" s="16" t="s">
        <v>8</v>
      </c>
      <c r="G4948" s="14"/>
    </row>
    <row r="4949" spans="2:7" ht="11.25" outlineLevel="7" x14ac:dyDescent="0.2">
      <c r="B4949" s="14" t="s">
        <v>9356</v>
      </c>
      <c r="C4949" s="14" t="s">
        <v>9357</v>
      </c>
      <c r="D4949" s="14">
        <v>1</v>
      </c>
      <c r="E4949" s="15">
        <v>317.20999999999998</v>
      </c>
      <c r="F4949" s="16" t="s">
        <v>8</v>
      </c>
      <c r="G4949" s="38" t="str">
        <f>HYPERLINK("http://enext.ua/2235430")</f>
        <v>http://enext.ua/2235430</v>
      </c>
    </row>
    <row r="4950" spans="2:7" ht="11.25" outlineLevel="7" x14ac:dyDescent="0.2">
      <c r="B4950" s="14" t="s">
        <v>9358</v>
      </c>
      <c r="C4950" s="14" t="s">
        <v>9359</v>
      </c>
      <c r="D4950" s="14">
        <v>1</v>
      </c>
      <c r="E4950" s="15">
        <v>390.48</v>
      </c>
      <c r="F4950" s="16" t="s">
        <v>8</v>
      </c>
      <c r="G4950" s="14"/>
    </row>
    <row r="4951" spans="2:7" ht="11.25" outlineLevel="7" x14ac:dyDescent="0.2">
      <c r="B4951" s="14" t="s">
        <v>9360</v>
      </c>
      <c r="C4951" s="14" t="s">
        <v>9361</v>
      </c>
      <c r="D4951" s="14">
        <v>1</v>
      </c>
      <c r="E4951" s="15">
        <v>455.11</v>
      </c>
      <c r="F4951" s="16" t="s">
        <v>8</v>
      </c>
      <c r="G4951" s="14"/>
    </row>
    <row r="4952" spans="2:7" ht="11.25" outlineLevel="7" x14ac:dyDescent="0.2">
      <c r="B4952" s="14" t="s">
        <v>9362</v>
      </c>
      <c r="C4952" s="14" t="s">
        <v>9363</v>
      </c>
      <c r="D4952" s="14">
        <v>1</v>
      </c>
      <c r="E4952" s="15">
        <v>527.92999999999995</v>
      </c>
      <c r="F4952" s="16" t="s">
        <v>8</v>
      </c>
      <c r="G4952" s="14"/>
    </row>
    <row r="4953" spans="2:7" ht="11.25" outlineLevel="7" x14ac:dyDescent="0.2">
      <c r="B4953" s="14" t="s">
        <v>9364</v>
      </c>
      <c r="C4953" s="14" t="s">
        <v>9365</v>
      </c>
      <c r="D4953" s="14">
        <v>1</v>
      </c>
      <c r="E4953" s="15">
        <v>691.14</v>
      </c>
      <c r="F4953" s="16" t="s">
        <v>8</v>
      </c>
      <c r="G4953" s="14"/>
    </row>
    <row r="4954" spans="2:7" ht="12" outlineLevel="6" x14ac:dyDescent="0.2">
      <c r="B4954" s="18"/>
      <c r="C4954" s="39" t="s">
        <v>9366</v>
      </c>
      <c r="D4954" s="18"/>
      <c r="E4954" s="19"/>
      <c r="F4954" s="19"/>
      <c r="G4954" s="18"/>
    </row>
    <row r="4955" spans="2:7" ht="11.25" outlineLevel="7" x14ac:dyDescent="0.2">
      <c r="B4955" s="14" t="s">
        <v>9367</v>
      </c>
      <c r="C4955" s="14" t="s">
        <v>8713</v>
      </c>
      <c r="D4955" s="14">
        <v>1</v>
      </c>
      <c r="E4955" s="15">
        <v>93.77</v>
      </c>
      <c r="F4955" s="16" t="s">
        <v>8</v>
      </c>
      <c r="G4955" s="38" t="str">
        <f>HYPERLINK("http://enext.ua/2233031")</f>
        <v>http://enext.ua/2233031</v>
      </c>
    </row>
    <row r="4956" spans="2:7" ht="11.25" outlineLevel="7" x14ac:dyDescent="0.2">
      <c r="B4956" s="14" t="s">
        <v>9368</v>
      </c>
      <c r="C4956" s="14" t="s">
        <v>9369</v>
      </c>
      <c r="D4956" s="14">
        <v>1</v>
      </c>
      <c r="E4956" s="15">
        <v>127.64</v>
      </c>
      <c r="F4956" s="16" t="s">
        <v>8</v>
      </c>
      <c r="G4956" s="38" t="str">
        <f>HYPERLINK("http://enext.ua/2234031")</f>
        <v>http://enext.ua/2234031</v>
      </c>
    </row>
    <row r="4957" spans="2:7" ht="11.25" outlineLevel="7" x14ac:dyDescent="0.2">
      <c r="B4957" s="14" t="s">
        <v>9370</v>
      </c>
      <c r="C4957" s="14" t="s">
        <v>9371</v>
      </c>
      <c r="D4957" s="14">
        <v>1</v>
      </c>
      <c r="E4957" s="15">
        <v>140.91999999999999</v>
      </c>
      <c r="F4957" s="16" t="s">
        <v>8</v>
      </c>
      <c r="G4957" s="38" t="str">
        <f>HYPERLINK("http://enext.ua/2235031")</f>
        <v>http://enext.ua/2235031</v>
      </c>
    </row>
    <row r="4958" spans="2:7" ht="11.25" outlineLevel="7" x14ac:dyDescent="0.2">
      <c r="B4958" s="14" t="s">
        <v>9372</v>
      </c>
      <c r="C4958" s="14" t="s">
        <v>8715</v>
      </c>
      <c r="D4958" s="14">
        <v>1</v>
      </c>
      <c r="E4958" s="15">
        <v>155.47</v>
      </c>
      <c r="F4958" s="16" t="s">
        <v>8</v>
      </c>
      <c r="G4958" s="38" t="str">
        <f>HYPERLINK("http://enext.ua/2236031")</f>
        <v>http://enext.ua/2236031</v>
      </c>
    </row>
    <row r="4959" spans="2:7" ht="11.25" outlineLevel="7" x14ac:dyDescent="0.2">
      <c r="B4959" s="14" t="s">
        <v>9373</v>
      </c>
      <c r="C4959" s="14" t="s">
        <v>9374</v>
      </c>
      <c r="D4959" s="14">
        <v>1</v>
      </c>
      <c r="E4959" s="15">
        <v>179.77</v>
      </c>
      <c r="F4959" s="16" t="s">
        <v>8</v>
      </c>
      <c r="G4959" s="14"/>
    </row>
    <row r="4960" spans="2:7" ht="11.25" outlineLevel="7" x14ac:dyDescent="0.2">
      <c r="B4960" s="14" t="s">
        <v>9375</v>
      </c>
      <c r="C4960" s="14" t="s">
        <v>9376</v>
      </c>
      <c r="D4960" s="14">
        <v>1</v>
      </c>
      <c r="E4960" s="15">
        <v>78.61</v>
      </c>
      <c r="F4960" s="16" t="s">
        <v>8</v>
      </c>
      <c r="G4960" s="38" t="str">
        <f>HYPERLINK("http://enext.ua/2231031")</f>
        <v>http://enext.ua/2231031</v>
      </c>
    </row>
    <row r="4961" spans="2:7" ht="11.25" outlineLevel="7" x14ac:dyDescent="0.2">
      <c r="B4961" s="14" t="s">
        <v>9377</v>
      </c>
      <c r="C4961" s="14" t="s">
        <v>9378</v>
      </c>
      <c r="D4961" s="14">
        <v>1</v>
      </c>
      <c r="E4961" s="15">
        <v>223.18</v>
      </c>
      <c r="F4961" s="16" t="s">
        <v>8</v>
      </c>
      <c r="G4961" s="14"/>
    </row>
    <row r="4962" spans="2:7" ht="11.25" outlineLevel="7" x14ac:dyDescent="0.2">
      <c r="B4962" s="14" t="s">
        <v>9379</v>
      </c>
      <c r="C4962" s="14" t="s">
        <v>9380</v>
      </c>
      <c r="D4962" s="14">
        <v>1</v>
      </c>
      <c r="E4962" s="15">
        <v>304.95999999999998</v>
      </c>
      <c r="F4962" s="16" t="s">
        <v>8</v>
      </c>
      <c r="G4962" s="14"/>
    </row>
    <row r="4963" spans="2:7" ht="11.25" outlineLevel="7" x14ac:dyDescent="0.2">
      <c r="B4963" s="14" t="s">
        <v>9381</v>
      </c>
      <c r="C4963" s="14" t="s">
        <v>9382</v>
      </c>
      <c r="D4963" s="14">
        <v>1</v>
      </c>
      <c r="E4963" s="15">
        <v>88.93</v>
      </c>
      <c r="F4963" s="16" t="s">
        <v>8</v>
      </c>
      <c r="G4963" s="14"/>
    </row>
    <row r="4964" spans="2:7" ht="12" outlineLevel="5" x14ac:dyDescent="0.2">
      <c r="B4964" s="18"/>
      <c r="C4964" s="39" t="s">
        <v>9383</v>
      </c>
      <c r="D4964" s="18"/>
      <c r="E4964" s="19"/>
      <c r="F4964" s="19"/>
      <c r="G4964" s="18"/>
    </row>
    <row r="4965" spans="2:7" ht="12" outlineLevel="6" x14ac:dyDescent="0.2">
      <c r="B4965" s="18"/>
      <c r="C4965" s="39" t="s">
        <v>9384</v>
      </c>
      <c r="D4965" s="18"/>
      <c r="E4965" s="19"/>
      <c r="F4965" s="19"/>
      <c r="G4965" s="18"/>
    </row>
    <row r="4966" spans="2:7" ht="11.25" outlineLevel="7" x14ac:dyDescent="0.2">
      <c r="B4966" s="14" t="s">
        <v>9385</v>
      </c>
      <c r="C4966" s="14" t="s">
        <v>9386</v>
      </c>
      <c r="D4966" s="14">
        <v>1</v>
      </c>
      <c r="E4966" s="15">
        <v>176.71</v>
      </c>
      <c r="F4966" s="16" t="s">
        <v>8</v>
      </c>
      <c r="G4966" s="14"/>
    </row>
    <row r="4967" spans="2:7" ht="11.25" outlineLevel="7" x14ac:dyDescent="0.2">
      <c r="B4967" s="14" t="s">
        <v>9387</v>
      </c>
      <c r="C4967" s="14" t="s">
        <v>9388</v>
      </c>
      <c r="D4967" s="14">
        <v>1</v>
      </c>
      <c r="E4967" s="15">
        <v>197.1</v>
      </c>
      <c r="F4967" s="16" t="s">
        <v>8</v>
      </c>
      <c r="G4967" s="14"/>
    </row>
    <row r="4968" spans="2:7" ht="11.25" outlineLevel="7" x14ac:dyDescent="0.2">
      <c r="B4968" s="14" t="s">
        <v>9389</v>
      </c>
      <c r="C4968" s="14" t="s">
        <v>9390</v>
      </c>
      <c r="D4968" s="14">
        <v>1</v>
      </c>
      <c r="E4968" s="15">
        <v>233.1</v>
      </c>
      <c r="F4968" s="16" t="s">
        <v>8</v>
      </c>
      <c r="G4968" s="14"/>
    </row>
    <row r="4969" spans="2:7" ht="11.25" outlineLevel="7" x14ac:dyDescent="0.2">
      <c r="B4969" s="14" t="s">
        <v>9391</v>
      </c>
      <c r="C4969" s="14" t="s">
        <v>9392</v>
      </c>
      <c r="D4969" s="14">
        <v>1</v>
      </c>
      <c r="E4969" s="15">
        <v>280.22000000000003</v>
      </c>
      <c r="F4969" s="16" t="s">
        <v>8</v>
      </c>
      <c r="G4969" s="14"/>
    </row>
    <row r="4970" spans="2:7" ht="11.25" outlineLevel="7" x14ac:dyDescent="0.2">
      <c r="B4970" s="14" t="s">
        <v>9393</v>
      </c>
      <c r="C4970" s="14" t="s">
        <v>9394</v>
      </c>
      <c r="D4970" s="14">
        <v>1</v>
      </c>
      <c r="E4970" s="15">
        <v>168.14</v>
      </c>
      <c r="F4970" s="16" t="s">
        <v>8</v>
      </c>
      <c r="G4970" s="14"/>
    </row>
    <row r="4971" spans="2:7" ht="11.25" outlineLevel="7" x14ac:dyDescent="0.2">
      <c r="B4971" s="14" t="s">
        <v>9395</v>
      </c>
      <c r="C4971" s="14" t="s">
        <v>9396</v>
      </c>
      <c r="D4971" s="14">
        <v>1</v>
      </c>
      <c r="E4971" s="15">
        <v>171.61</v>
      </c>
      <c r="F4971" s="16" t="s">
        <v>8</v>
      </c>
      <c r="G4971" s="14"/>
    </row>
    <row r="4972" spans="2:7" ht="12" outlineLevel="6" x14ac:dyDescent="0.2">
      <c r="B4972" s="18"/>
      <c r="C4972" s="39" t="s">
        <v>9397</v>
      </c>
      <c r="D4972" s="18"/>
      <c r="E4972" s="19"/>
      <c r="F4972" s="19"/>
      <c r="G4972" s="18"/>
    </row>
    <row r="4973" spans="2:7" ht="11.25" outlineLevel="7" x14ac:dyDescent="0.2">
      <c r="B4973" s="14" t="s">
        <v>9398</v>
      </c>
      <c r="C4973" s="14" t="s">
        <v>9399</v>
      </c>
      <c r="D4973" s="14">
        <v>1</v>
      </c>
      <c r="E4973" s="15">
        <v>211.37</v>
      </c>
      <c r="F4973" s="16" t="s">
        <v>8</v>
      </c>
      <c r="G4973" s="14"/>
    </row>
    <row r="4974" spans="2:7" ht="11.25" outlineLevel="7" x14ac:dyDescent="0.2">
      <c r="B4974" s="14" t="s">
        <v>9400</v>
      </c>
      <c r="C4974" s="14" t="s">
        <v>9401</v>
      </c>
      <c r="D4974" s="14">
        <v>1</v>
      </c>
      <c r="E4974" s="15">
        <v>222.98</v>
      </c>
      <c r="F4974" s="16" t="s">
        <v>8</v>
      </c>
      <c r="G4974" s="14"/>
    </row>
    <row r="4975" spans="2:7" ht="11.25" outlineLevel="7" x14ac:dyDescent="0.2">
      <c r="B4975" s="14" t="s">
        <v>9402</v>
      </c>
      <c r="C4975" s="14" t="s">
        <v>9403</v>
      </c>
      <c r="D4975" s="14">
        <v>1</v>
      </c>
      <c r="E4975" s="15">
        <v>265.51</v>
      </c>
      <c r="F4975" s="16" t="s">
        <v>8</v>
      </c>
      <c r="G4975" s="14"/>
    </row>
    <row r="4976" spans="2:7" ht="11.25" outlineLevel="7" x14ac:dyDescent="0.2">
      <c r="B4976" s="14" t="s">
        <v>9404</v>
      </c>
      <c r="C4976" s="14" t="s">
        <v>9405</v>
      </c>
      <c r="D4976" s="14">
        <v>1</v>
      </c>
      <c r="E4976" s="15">
        <v>313.97000000000003</v>
      </c>
      <c r="F4976" s="16" t="s">
        <v>8</v>
      </c>
      <c r="G4976" s="38" t="str">
        <f>HYPERLINK("http://enext.ua/2256230")</f>
        <v>http://enext.ua/2256230</v>
      </c>
    </row>
    <row r="4977" spans="2:7" ht="11.25" outlineLevel="7" x14ac:dyDescent="0.2">
      <c r="B4977" s="14" t="s">
        <v>9406</v>
      </c>
      <c r="C4977" s="14" t="s">
        <v>9407</v>
      </c>
      <c r="D4977" s="14">
        <v>1</v>
      </c>
      <c r="E4977" s="15">
        <v>362.44</v>
      </c>
      <c r="F4977" s="16" t="s">
        <v>8</v>
      </c>
      <c r="G4977" s="14"/>
    </row>
    <row r="4978" spans="2:7" ht="11.25" outlineLevel="7" x14ac:dyDescent="0.2">
      <c r="B4978" s="14" t="s">
        <v>9408</v>
      </c>
      <c r="C4978" s="14" t="s">
        <v>9409</v>
      </c>
      <c r="D4978" s="14">
        <v>1</v>
      </c>
      <c r="E4978" s="15">
        <v>431.17</v>
      </c>
      <c r="F4978" s="16" t="s">
        <v>8</v>
      </c>
      <c r="G4978" s="14"/>
    </row>
    <row r="4979" spans="2:7" ht="11.25" outlineLevel="7" x14ac:dyDescent="0.2">
      <c r="B4979" s="14" t="s">
        <v>9410</v>
      </c>
      <c r="C4979" s="14" t="s">
        <v>9411</v>
      </c>
      <c r="D4979" s="14">
        <v>1</v>
      </c>
      <c r="E4979" s="15">
        <v>185.32</v>
      </c>
      <c r="F4979" s="16" t="s">
        <v>8</v>
      </c>
      <c r="G4979" s="38" t="str">
        <f>HYPERLINK("http://enext.ua/2251230")</f>
        <v>http://enext.ua/2251230</v>
      </c>
    </row>
    <row r="4980" spans="2:7" ht="11.25" outlineLevel="7" x14ac:dyDescent="0.2">
      <c r="B4980" s="14" t="s">
        <v>9412</v>
      </c>
      <c r="C4980" s="14" t="s">
        <v>9413</v>
      </c>
      <c r="D4980" s="14">
        <v>1</v>
      </c>
      <c r="E4980" s="15">
        <v>546.6</v>
      </c>
      <c r="F4980" s="16" t="s">
        <v>8</v>
      </c>
      <c r="G4980" s="14"/>
    </row>
    <row r="4981" spans="2:7" ht="12" outlineLevel="6" x14ac:dyDescent="0.2">
      <c r="B4981" s="18"/>
      <c r="C4981" s="39" t="s">
        <v>9414</v>
      </c>
      <c r="D4981" s="18"/>
      <c r="E4981" s="19"/>
      <c r="F4981" s="19"/>
      <c r="G4981" s="18"/>
    </row>
    <row r="4982" spans="2:7" ht="11.25" outlineLevel="7" x14ac:dyDescent="0.2">
      <c r="B4982" s="14" t="s">
        <v>9415</v>
      </c>
      <c r="C4982" s="14" t="s">
        <v>9416</v>
      </c>
      <c r="D4982" s="14">
        <v>1</v>
      </c>
      <c r="E4982" s="15">
        <v>218.38</v>
      </c>
      <c r="F4982" s="16" t="s">
        <v>8</v>
      </c>
      <c r="G4982" s="14"/>
    </row>
    <row r="4983" spans="2:7" ht="11.25" outlineLevel="7" x14ac:dyDescent="0.2">
      <c r="B4983" s="14" t="s">
        <v>9417</v>
      </c>
      <c r="C4983" s="14" t="s">
        <v>9418</v>
      </c>
      <c r="D4983" s="14">
        <v>1</v>
      </c>
      <c r="E4983" s="15">
        <v>232.2</v>
      </c>
      <c r="F4983" s="16" t="s">
        <v>8</v>
      </c>
      <c r="G4983" s="14"/>
    </row>
    <row r="4984" spans="2:7" ht="11.25" outlineLevel="7" x14ac:dyDescent="0.2">
      <c r="B4984" s="14" t="s">
        <v>9419</v>
      </c>
      <c r="C4984" s="14" t="s">
        <v>9420</v>
      </c>
      <c r="D4984" s="14">
        <v>1</v>
      </c>
      <c r="E4984" s="15">
        <v>272.04000000000002</v>
      </c>
      <c r="F4984" s="16" t="s">
        <v>8</v>
      </c>
      <c r="G4984" s="14"/>
    </row>
    <row r="4985" spans="2:7" ht="11.25" outlineLevel="7" x14ac:dyDescent="0.2">
      <c r="B4985" s="14" t="s">
        <v>9421</v>
      </c>
      <c r="C4985" s="14" t="s">
        <v>9422</v>
      </c>
      <c r="D4985" s="14">
        <v>1</v>
      </c>
      <c r="E4985" s="15">
        <v>322.66000000000003</v>
      </c>
      <c r="F4985" s="16" t="s">
        <v>8</v>
      </c>
      <c r="G4985" s="14"/>
    </row>
    <row r="4986" spans="2:7" ht="11.25" outlineLevel="7" x14ac:dyDescent="0.2">
      <c r="B4986" s="14" t="s">
        <v>9423</v>
      </c>
      <c r="C4986" s="14" t="s">
        <v>9424</v>
      </c>
      <c r="D4986" s="14">
        <v>1</v>
      </c>
      <c r="E4986" s="15">
        <v>378.66</v>
      </c>
      <c r="F4986" s="16" t="s">
        <v>8</v>
      </c>
      <c r="G4986" s="14"/>
    </row>
    <row r="4987" spans="2:7" ht="11.25" outlineLevel="7" x14ac:dyDescent="0.2">
      <c r="B4987" s="14" t="s">
        <v>9425</v>
      </c>
      <c r="C4987" s="14" t="s">
        <v>9426</v>
      </c>
      <c r="D4987" s="14">
        <v>1</v>
      </c>
      <c r="E4987" s="15">
        <v>436.52</v>
      </c>
      <c r="F4987" s="16" t="s">
        <v>8</v>
      </c>
      <c r="G4987" s="14"/>
    </row>
    <row r="4988" spans="2:7" ht="11.25" outlineLevel="7" x14ac:dyDescent="0.2">
      <c r="B4988" s="14" t="s">
        <v>9427</v>
      </c>
      <c r="C4988" s="14" t="s">
        <v>9428</v>
      </c>
      <c r="D4988" s="14">
        <v>1</v>
      </c>
      <c r="E4988" s="15">
        <v>581.04</v>
      </c>
      <c r="F4988" s="16" t="s">
        <v>8</v>
      </c>
      <c r="G4988" s="14"/>
    </row>
    <row r="4989" spans="2:7" ht="11.25" outlineLevel="7" x14ac:dyDescent="0.2">
      <c r="B4989" s="14" t="s">
        <v>9429</v>
      </c>
      <c r="C4989" s="14" t="s">
        <v>9430</v>
      </c>
      <c r="D4989" s="14">
        <v>1</v>
      </c>
      <c r="E4989" s="15">
        <v>199.22</v>
      </c>
      <c r="F4989" s="16" t="s">
        <v>8</v>
      </c>
      <c r="G4989" s="14"/>
    </row>
    <row r="4990" spans="2:7" ht="12" outlineLevel="6" x14ac:dyDescent="0.2">
      <c r="B4990" s="18"/>
      <c r="C4990" s="39" t="s">
        <v>9431</v>
      </c>
      <c r="D4990" s="18"/>
      <c r="E4990" s="19"/>
      <c r="F4990" s="19"/>
      <c r="G4990" s="18"/>
    </row>
    <row r="4991" spans="2:7" ht="11.25" outlineLevel="7" x14ac:dyDescent="0.2">
      <c r="B4991" s="14" t="s">
        <v>9432</v>
      </c>
      <c r="C4991" s="14" t="s">
        <v>9433</v>
      </c>
      <c r="D4991" s="14">
        <v>1</v>
      </c>
      <c r="E4991" s="15">
        <v>222.17</v>
      </c>
      <c r="F4991" s="16" t="s">
        <v>8</v>
      </c>
      <c r="G4991" s="14"/>
    </row>
    <row r="4992" spans="2:7" ht="11.25" outlineLevel="7" x14ac:dyDescent="0.2">
      <c r="B4992" s="14" t="s">
        <v>9434</v>
      </c>
      <c r="C4992" s="14" t="s">
        <v>9435</v>
      </c>
      <c r="D4992" s="14">
        <v>1</v>
      </c>
      <c r="E4992" s="15">
        <v>239.14</v>
      </c>
      <c r="F4992" s="16" t="s">
        <v>8</v>
      </c>
      <c r="G4992" s="14"/>
    </row>
    <row r="4993" spans="2:7" ht="11.25" outlineLevel="7" x14ac:dyDescent="0.2">
      <c r="B4993" s="14" t="s">
        <v>9436</v>
      </c>
      <c r="C4993" s="14" t="s">
        <v>9437</v>
      </c>
      <c r="D4993" s="14">
        <v>1</v>
      </c>
      <c r="E4993" s="15">
        <v>281.89</v>
      </c>
      <c r="F4993" s="16" t="s">
        <v>8</v>
      </c>
      <c r="G4993" s="14"/>
    </row>
    <row r="4994" spans="2:7" ht="11.25" outlineLevel="7" x14ac:dyDescent="0.2">
      <c r="B4994" s="14" t="s">
        <v>9438</v>
      </c>
      <c r="C4994" s="14" t="s">
        <v>9439</v>
      </c>
      <c r="D4994" s="14">
        <v>1</v>
      </c>
      <c r="E4994" s="15">
        <v>334.49</v>
      </c>
      <c r="F4994" s="16" t="s">
        <v>8</v>
      </c>
      <c r="G4994" s="14"/>
    </row>
    <row r="4995" spans="2:7" ht="11.25" outlineLevel="7" x14ac:dyDescent="0.2">
      <c r="B4995" s="14" t="s">
        <v>9440</v>
      </c>
      <c r="C4995" s="14" t="s">
        <v>9441</v>
      </c>
      <c r="D4995" s="14">
        <v>1</v>
      </c>
      <c r="E4995" s="15">
        <v>380.86</v>
      </c>
      <c r="F4995" s="16" t="s">
        <v>8</v>
      </c>
      <c r="G4995" s="14"/>
    </row>
    <row r="4996" spans="2:7" ht="11.25" outlineLevel="7" x14ac:dyDescent="0.2">
      <c r="B4996" s="14" t="s">
        <v>9442</v>
      </c>
      <c r="C4996" s="14" t="s">
        <v>9443</v>
      </c>
      <c r="D4996" s="14">
        <v>1</v>
      </c>
      <c r="E4996" s="15">
        <v>461.1</v>
      </c>
      <c r="F4996" s="16" t="s">
        <v>8</v>
      </c>
      <c r="G4996" s="14"/>
    </row>
    <row r="4997" spans="2:7" ht="11.25" outlineLevel="7" x14ac:dyDescent="0.2">
      <c r="B4997" s="14" t="s">
        <v>9444</v>
      </c>
      <c r="C4997" s="14" t="s">
        <v>9445</v>
      </c>
      <c r="D4997" s="14">
        <v>1</v>
      </c>
      <c r="E4997" s="15">
        <v>672.94</v>
      </c>
      <c r="F4997" s="16" t="s">
        <v>8</v>
      </c>
      <c r="G4997" s="14"/>
    </row>
    <row r="4998" spans="2:7" ht="12" outlineLevel="6" x14ac:dyDescent="0.2">
      <c r="B4998" s="18"/>
      <c r="C4998" s="39" t="s">
        <v>9446</v>
      </c>
      <c r="D4998" s="18"/>
      <c r="E4998" s="19"/>
      <c r="F4998" s="19"/>
      <c r="G4998" s="18"/>
    </row>
    <row r="4999" spans="2:7" ht="11.25" outlineLevel="7" x14ac:dyDescent="0.2">
      <c r="B4999" s="14" t="s">
        <v>9447</v>
      </c>
      <c r="C4999" s="14" t="s">
        <v>9448</v>
      </c>
      <c r="D4999" s="14">
        <v>1</v>
      </c>
      <c r="E4999" s="15">
        <v>97.8</v>
      </c>
      <c r="F4999" s="16" t="s">
        <v>8</v>
      </c>
      <c r="G4999" s="14"/>
    </row>
    <row r="5000" spans="2:7" ht="11.25" outlineLevel="7" x14ac:dyDescent="0.2">
      <c r="B5000" s="14" t="s">
        <v>9449</v>
      </c>
      <c r="C5000" s="14" t="s">
        <v>9450</v>
      </c>
      <c r="D5000" s="14">
        <v>1</v>
      </c>
      <c r="E5000" s="15">
        <v>122.38</v>
      </c>
      <c r="F5000" s="16" t="s">
        <v>8</v>
      </c>
      <c r="G5000" s="14"/>
    </row>
    <row r="5001" spans="2:7" ht="11.25" outlineLevel="7" x14ac:dyDescent="0.2">
      <c r="B5001" s="14" t="s">
        <v>9451</v>
      </c>
      <c r="C5001" s="14" t="s">
        <v>9452</v>
      </c>
      <c r="D5001" s="14">
        <v>1</v>
      </c>
      <c r="E5001" s="15">
        <v>137.68</v>
      </c>
      <c r="F5001" s="16" t="s">
        <v>8</v>
      </c>
      <c r="G5001" s="38" t="str">
        <f>HYPERLINK("http://enext.ua/2255031")</f>
        <v>http://enext.ua/2255031</v>
      </c>
    </row>
    <row r="5002" spans="2:7" ht="11.25" outlineLevel="7" x14ac:dyDescent="0.2">
      <c r="B5002" s="14" t="s">
        <v>9453</v>
      </c>
      <c r="C5002" s="14" t="s">
        <v>9454</v>
      </c>
      <c r="D5002" s="14">
        <v>1</v>
      </c>
      <c r="E5002" s="15">
        <v>166.97</v>
      </c>
      <c r="F5002" s="16" t="s">
        <v>8</v>
      </c>
      <c r="G5002" s="38" t="str">
        <f>HYPERLINK("http://enext.ua/2256031")</f>
        <v>http://enext.ua/2256031</v>
      </c>
    </row>
    <row r="5003" spans="2:7" ht="11.25" outlineLevel="7" x14ac:dyDescent="0.2">
      <c r="B5003" s="14" t="s">
        <v>9455</v>
      </c>
      <c r="C5003" s="14" t="s">
        <v>9456</v>
      </c>
      <c r="D5003" s="14">
        <v>1</v>
      </c>
      <c r="E5003" s="15">
        <v>190.99</v>
      </c>
      <c r="F5003" s="16" t="s">
        <v>8</v>
      </c>
      <c r="G5003" s="14"/>
    </row>
    <row r="5004" spans="2:7" ht="11.25" outlineLevel="7" x14ac:dyDescent="0.2">
      <c r="B5004" s="14" t="s">
        <v>9457</v>
      </c>
      <c r="C5004" s="14" t="s">
        <v>9458</v>
      </c>
      <c r="D5004" s="14">
        <v>1</v>
      </c>
      <c r="E5004" s="15">
        <v>85.56</v>
      </c>
      <c r="F5004" s="16" t="s">
        <v>8</v>
      </c>
      <c r="G5004" s="14"/>
    </row>
    <row r="5005" spans="2:7" ht="11.25" outlineLevel="7" x14ac:dyDescent="0.2">
      <c r="B5005" s="14" t="s">
        <v>9459</v>
      </c>
      <c r="C5005" s="14" t="s">
        <v>9460</v>
      </c>
      <c r="D5005" s="14">
        <v>1</v>
      </c>
      <c r="E5005" s="15">
        <v>218.58</v>
      </c>
      <c r="F5005" s="16" t="s">
        <v>8</v>
      </c>
      <c r="G5005" s="14"/>
    </row>
    <row r="5006" spans="2:7" ht="11.25" outlineLevel="7" x14ac:dyDescent="0.2">
      <c r="B5006" s="14" t="s">
        <v>9461</v>
      </c>
      <c r="C5006" s="14" t="s">
        <v>9462</v>
      </c>
      <c r="D5006" s="14">
        <v>1</v>
      </c>
      <c r="E5006" s="15">
        <v>285.42</v>
      </c>
      <c r="F5006" s="16" t="s">
        <v>8</v>
      </c>
      <c r="G5006" s="14"/>
    </row>
    <row r="5007" spans="2:7" ht="11.25" outlineLevel="7" x14ac:dyDescent="0.2">
      <c r="B5007" s="14" t="s">
        <v>9463</v>
      </c>
      <c r="C5007" s="14" t="s">
        <v>9464</v>
      </c>
      <c r="D5007" s="14">
        <v>1</v>
      </c>
      <c r="E5007" s="15">
        <v>93.1</v>
      </c>
      <c r="F5007" s="16" t="s">
        <v>8</v>
      </c>
      <c r="G5007" s="14"/>
    </row>
    <row r="5008" spans="2:7" ht="12" outlineLevel="5" x14ac:dyDescent="0.2">
      <c r="B5008" s="18"/>
      <c r="C5008" s="39" t="s">
        <v>9465</v>
      </c>
      <c r="D5008" s="18"/>
      <c r="E5008" s="19"/>
      <c r="F5008" s="19"/>
      <c r="G5008" s="18"/>
    </row>
    <row r="5009" spans="2:7" ht="12" outlineLevel="6" x14ac:dyDescent="0.2">
      <c r="B5009" s="18"/>
      <c r="C5009" s="39" t="s">
        <v>9466</v>
      </c>
      <c r="D5009" s="18"/>
      <c r="E5009" s="19"/>
      <c r="F5009" s="19"/>
      <c r="G5009" s="18"/>
    </row>
    <row r="5010" spans="2:7" ht="11.25" outlineLevel="7" x14ac:dyDescent="0.2">
      <c r="B5010" s="14" t="s">
        <v>9467</v>
      </c>
      <c r="C5010" s="14" t="s">
        <v>9468</v>
      </c>
      <c r="D5010" s="14">
        <v>1</v>
      </c>
      <c r="E5010" s="15">
        <v>314.70999999999998</v>
      </c>
      <c r="F5010" s="16" t="s">
        <v>8</v>
      </c>
      <c r="G5010" s="14"/>
    </row>
    <row r="5011" spans="2:7" ht="11.25" outlineLevel="7" x14ac:dyDescent="0.2">
      <c r="B5011" s="14" t="s">
        <v>9469</v>
      </c>
      <c r="C5011" s="14" t="s">
        <v>9470</v>
      </c>
      <c r="D5011" s="14">
        <v>1</v>
      </c>
      <c r="E5011" s="15">
        <v>367.94</v>
      </c>
      <c r="F5011" s="16" t="s">
        <v>8</v>
      </c>
      <c r="G5011" s="14"/>
    </row>
    <row r="5012" spans="2:7" ht="11.25" outlineLevel="7" x14ac:dyDescent="0.2">
      <c r="B5012" s="14" t="s">
        <v>9471</v>
      </c>
      <c r="C5012" s="14" t="s">
        <v>9472</v>
      </c>
      <c r="D5012" s="14">
        <v>1</v>
      </c>
      <c r="E5012" s="15">
        <v>392.54</v>
      </c>
      <c r="F5012" s="16" t="s">
        <v>8</v>
      </c>
      <c r="G5012" s="14"/>
    </row>
    <row r="5013" spans="2:7" ht="11.25" outlineLevel="7" x14ac:dyDescent="0.2">
      <c r="B5013" s="14" t="s">
        <v>9473</v>
      </c>
      <c r="C5013" s="14" t="s">
        <v>9474</v>
      </c>
      <c r="D5013" s="14">
        <v>1</v>
      </c>
      <c r="E5013" s="15">
        <v>473.02</v>
      </c>
      <c r="F5013" s="16" t="s">
        <v>8</v>
      </c>
      <c r="G5013" s="14"/>
    </row>
    <row r="5014" spans="2:7" ht="11.25" outlineLevel="7" x14ac:dyDescent="0.2">
      <c r="B5014" s="14" t="s">
        <v>9475</v>
      </c>
      <c r="C5014" s="14" t="s">
        <v>9476</v>
      </c>
      <c r="D5014" s="14">
        <v>1</v>
      </c>
      <c r="E5014" s="15">
        <v>290.7</v>
      </c>
      <c r="F5014" s="16" t="s">
        <v>8</v>
      </c>
      <c r="G5014" s="14"/>
    </row>
    <row r="5015" spans="2:7" ht="11.25" outlineLevel="7" x14ac:dyDescent="0.2">
      <c r="B5015" s="14" t="s">
        <v>9477</v>
      </c>
      <c r="C5015" s="14" t="s">
        <v>9478</v>
      </c>
      <c r="D5015" s="14">
        <v>1</v>
      </c>
      <c r="E5015" s="15">
        <v>305.76</v>
      </c>
      <c r="F5015" s="16" t="s">
        <v>8</v>
      </c>
      <c r="G5015" s="14"/>
    </row>
    <row r="5016" spans="2:7" ht="12" outlineLevel="6" x14ac:dyDescent="0.2">
      <c r="B5016" s="18"/>
      <c r="C5016" s="39" t="s">
        <v>9479</v>
      </c>
      <c r="D5016" s="18"/>
      <c r="E5016" s="19"/>
      <c r="F5016" s="19"/>
      <c r="G5016" s="18"/>
    </row>
    <row r="5017" spans="2:7" ht="11.25" outlineLevel="7" x14ac:dyDescent="0.2">
      <c r="B5017" s="14" t="s">
        <v>9480</v>
      </c>
      <c r="C5017" s="14" t="s">
        <v>9481</v>
      </c>
      <c r="D5017" s="14">
        <v>1</v>
      </c>
      <c r="E5017" s="15">
        <v>449.24</v>
      </c>
      <c r="F5017" s="16" t="s">
        <v>8</v>
      </c>
      <c r="G5017" s="14"/>
    </row>
    <row r="5018" spans="2:7" ht="11.25" outlineLevel="7" x14ac:dyDescent="0.2">
      <c r="B5018" s="14" t="s">
        <v>9482</v>
      </c>
      <c r="C5018" s="14" t="s">
        <v>9483</v>
      </c>
      <c r="D5018" s="14">
        <v>1</v>
      </c>
      <c r="E5018" s="15">
        <v>526.55999999999995</v>
      </c>
      <c r="F5018" s="16" t="s">
        <v>8</v>
      </c>
      <c r="G5018" s="14"/>
    </row>
    <row r="5019" spans="2:7" ht="11.25" outlineLevel="7" x14ac:dyDescent="0.2">
      <c r="B5019" s="14" t="s">
        <v>9484</v>
      </c>
      <c r="C5019" s="14" t="s">
        <v>9485</v>
      </c>
      <c r="D5019" s="14">
        <v>1</v>
      </c>
      <c r="E5019" s="15">
        <v>601.5</v>
      </c>
      <c r="F5019" s="16" t="s">
        <v>8</v>
      </c>
      <c r="G5019" s="38" t="str">
        <f>HYPERLINK("http://enext.ua/2715230")</f>
        <v>http://enext.ua/2715230</v>
      </c>
    </row>
    <row r="5020" spans="2:7" ht="11.25" outlineLevel="7" x14ac:dyDescent="0.2">
      <c r="B5020" s="14" t="s">
        <v>9486</v>
      </c>
      <c r="C5020" s="14" t="s">
        <v>9487</v>
      </c>
      <c r="D5020" s="14">
        <v>1</v>
      </c>
      <c r="E5020" s="15">
        <v>695.86</v>
      </c>
      <c r="F5020" s="16" t="s">
        <v>8</v>
      </c>
      <c r="G5020" s="38" t="str">
        <f>HYPERLINK("http://enext.ua/2716230")</f>
        <v>http://enext.ua/2716230</v>
      </c>
    </row>
    <row r="5021" spans="2:7" ht="11.25" outlineLevel="7" x14ac:dyDescent="0.2">
      <c r="B5021" s="14" t="s">
        <v>9488</v>
      </c>
      <c r="C5021" s="14" t="s">
        <v>9489</v>
      </c>
      <c r="D5021" s="14">
        <v>1</v>
      </c>
      <c r="E5021" s="15">
        <v>792.22</v>
      </c>
      <c r="F5021" s="16" t="s">
        <v>8</v>
      </c>
      <c r="G5021" s="14"/>
    </row>
    <row r="5022" spans="2:7" ht="11.25" outlineLevel="7" x14ac:dyDescent="0.2">
      <c r="B5022" s="14" t="s">
        <v>9490</v>
      </c>
      <c r="C5022" s="14" t="s">
        <v>9491</v>
      </c>
      <c r="D5022" s="14">
        <v>1</v>
      </c>
      <c r="E5022" s="15">
        <v>925.88</v>
      </c>
      <c r="F5022" s="16" t="s">
        <v>8</v>
      </c>
      <c r="G5022" s="14"/>
    </row>
    <row r="5023" spans="2:7" ht="11.25" outlineLevel="7" x14ac:dyDescent="0.2">
      <c r="B5023" s="14" t="s">
        <v>9492</v>
      </c>
      <c r="C5023" s="14" t="s">
        <v>9493</v>
      </c>
      <c r="D5023" s="14">
        <v>1</v>
      </c>
      <c r="E5023" s="15">
        <v>440.86</v>
      </c>
      <c r="F5023" s="16" t="s">
        <v>8</v>
      </c>
      <c r="G5023" s="14"/>
    </row>
    <row r="5024" spans="2:7" ht="11.25" outlineLevel="7" x14ac:dyDescent="0.2">
      <c r="B5024" s="14" t="s">
        <v>9494</v>
      </c>
      <c r="C5024" s="14" t="s">
        <v>9495</v>
      </c>
      <c r="D5024" s="14">
        <v>1</v>
      </c>
      <c r="E5024" s="17">
        <v>1178.1199999999999</v>
      </c>
      <c r="F5024" s="16" t="s">
        <v>8</v>
      </c>
      <c r="G5024" s="14"/>
    </row>
    <row r="5025" spans="2:7" ht="12" outlineLevel="6" x14ac:dyDescent="0.2">
      <c r="B5025" s="18"/>
      <c r="C5025" s="39" t="s">
        <v>9496</v>
      </c>
      <c r="D5025" s="18"/>
      <c r="E5025" s="19"/>
      <c r="F5025" s="19"/>
      <c r="G5025" s="18"/>
    </row>
    <row r="5026" spans="2:7" ht="11.25" outlineLevel="7" x14ac:dyDescent="0.2">
      <c r="B5026" s="14" t="s">
        <v>9497</v>
      </c>
      <c r="C5026" s="14" t="s">
        <v>9498</v>
      </c>
      <c r="D5026" s="14">
        <v>1</v>
      </c>
      <c r="E5026" s="15">
        <v>458.88</v>
      </c>
      <c r="F5026" s="16" t="s">
        <v>8</v>
      </c>
      <c r="G5026" s="38" t="str">
        <f>HYPERLINK("http://enext.ua/2713330")</f>
        <v>http://enext.ua/2713330</v>
      </c>
    </row>
    <row r="5027" spans="2:7" ht="11.25" outlineLevel="7" x14ac:dyDescent="0.2">
      <c r="B5027" s="14" t="s">
        <v>9499</v>
      </c>
      <c r="C5027" s="14" t="s">
        <v>9500</v>
      </c>
      <c r="D5027" s="14">
        <v>1</v>
      </c>
      <c r="E5027" s="15">
        <v>540.1</v>
      </c>
      <c r="F5027" s="16" t="s">
        <v>8</v>
      </c>
      <c r="G5027" s="14"/>
    </row>
    <row r="5028" spans="2:7" ht="11.25" outlineLevel="7" x14ac:dyDescent="0.2">
      <c r="B5028" s="14" t="s">
        <v>9501</v>
      </c>
      <c r="C5028" s="14" t="s">
        <v>9502</v>
      </c>
      <c r="D5028" s="14">
        <v>1</v>
      </c>
      <c r="E5028" s="15">
        <v>606.77</v>
      </c>
      <c r="F5028" s="16" t="s">
        <v>8</v>
      </c>
      <c r="G5028" s="14"/>
    </row>
    <row r="5029" spans="2:7" ht="11.25" outlineLevel="7" x14ac:dyDescent="0.2">
      <c r="B5029" s="14" t="s">
        <v>9503</v>
      </c>
      <c r="C5029" s="14" t="s">
        <v>9504</v>
      </c>
      <c r="D5029" s="14">
        <v>1</v>
      </c>
      <c r="E5029" s="15">
        <v>715.49</v>
      </c>
      <c r="F5029" s="16" t="s">
        <v>8</v>
      </c>
      <c r="G5029" s="14"/>
    </row>
    <row r="5030" spans="2:7" ht="11.25" outlineLevel="7" x14ac:dyDescent="0.2">
      <c r="B5030" s="14" t="s">
        <v>9505</v>
      </c>
      <c r="C5030" s="14" t="s">
        <v>9506</v>
      </c>
      <c r="D5030" s="14">
        <v>1</v>
      </c>
      <c r="E5030" s="15">
        <v>804.98</v>
      </c>
      <c r="F5030" s="16" t="s">
        <v>8</v>
      </c>
      <c r="G5030" s="14"/>
    </row>
    <row r="5031" spans="2:7" ht="11.25" outlineLevel="7" x14ac:dyDescent="0.2">
      <c r="B5031" s="14" t="s">
        <v>9507</v>
      </c>
      <c r="C5031" s="14" t="s">
        <v>9508</v>
      </c>
      <c r="D5031" s="14">
        <v>1</v>
      </c>
      <c r="E5031" s="15">
        <v>937.9</v>
      </c>
      <c r="F5031" s="16" t="s">
        <v>8</v>
      </c>
      <c r="G5031" s="14"/>
    </row>
    <row r="5032" spans="2:7" ht="11.25" outlineLevel="7" x14ac:dyDescent="0.2">
      <c r="B5032" s="14" t="s">
        <v>9509</v>
      </c>
      <c r="C5032" s="14" t="s">
        <v>9510</v>
      </c>
      <c r="D5032" s="14">
        <v>1</v>
      </c>
      <c r="E5032" s="17">
        <v>1408.92</v>
      </c>
      <c r="F5032" s="16" t="s">
        <v>8</v>
      </c>
      <c r="G5032" s="14"/>
    </row>
    <row r="5033" spans="2:7" ht="11.25" outlineLevel="7" x14ac:dyDescent="0.2">
      <c r="B5033" s="14" t="s">
        <v>9511</v>
      </c>
      <c r="C5033" s="14" t="s">
        <v>9512</v>
      </c>
      <c r="D5033" s="14">
        <v>1</v>
      </c>
      <c r="E5033" s="15">
        <v>455.52</v>
      </c>
      <c r="F5033" s="16" t="s">
        <v>8</v>
      </c>
      <c r="G5033" s="14"/>
    </row>
    <row r="5034" spans="2:7" ht="12" outlineLevel="6" x14ac:dyDescent="0.2">
      <c r="B5034" s="18"/>
      <c r="C5034" s="39" t="s">
        <v>9513</v>
      </c>
      <c r="D5034" s="18"/>
      <c r="E5034" s="19"/>
      <c r="F5034" s="19"/>
      <c r="G5034" s="18"/>
    </row>
    <row r="5035" spans="2:7" ht="11.25" outlineLevel="7" x14ac:dyDescent="0.2">
      <c r="B5035" s="14" t="s">
        <v>9514</v>
      </c>
      <c r="C5035" s="14" t="s">
        <v>9515</v>
      </c>
      <c r="D5035" s="14">
        <v>1</v>
      </c>
      <c r="E5035" s="15">
        <v>517.82000000000005</v>
      </c>
      <c r="F5035" s="16" t="s">
        <v>8</v>
      </c>
      <c r="G5035" s="14"/>
    </row>
    <row r="5036" spans="2:7" ht="11.25" outlineLevel="7" x14ac:dyDescent="0.2">
      <c r="B5036" s="14" t="s">
        <v>9516</v>
      </c>
      <c r="C5036" s="14" t="s">
        <v>9517</v>
      </c>
      <c r="D5036" s="14">
        <v>1</v>
      </c>
      <c r="E5036" s="15">
        <v>608.91999999999996</v>
      </c>
      <c r="F5036" s="16" t="s">
        <v>8</v>
      </c>
      <c r="G5036" s="14"/>
    </row>
    <row r="5037" spans="2:7" ht="11.25" outlineLevel="7" x14ac:dyDescent="0.2">
      <c r="B5037" s="14" t="s">
        <v>9518</v>
      </c>
      <c r="C5037" s="14" t="s">
        <v>9519</v>
      </c>
      <c r="D5037" s="14">
        <v>1</v>
      </c>
      <c r="E5037" s="15">
        <v>656.95</v>
      </c>
      <c r="F5037" s="16" t="s">
        <v>8</v>
      </c>
      <c r="G5037" s="14"/>
    </row>
    <row r="5038" spans="2:7" ht="11.25" outlineLevel="7" x14ac:dyDescent="0.2">
      <c r="B5038" s="14" t="s">
        <v>9520</v>
      </c>
      <c r="C5038" s="14" t="s">
        <v>9521</v>
      </c>
      <c r="D5038" s="14">
        <v>1</v>
      </c>
      <c r="E5038" s="15">
        <v>809.44</v>
      </c>
      <c r="F5038" s="16" t="s">
        <v>8</v>
      </c>
      <c r="G5038" s="14"/>
    </row>
    <row r="5039" spans="2:7" ht="11.25" outlineLevel="7" x14ac:dyDescent="0.2">
      <c r="B5039" s="14" t="s">
        <v>9522</v>
      </c>
      <c r="C5039" s="14" t="s">
        <v>9523</v>
      </c>
      <c r="D5039" s="14">
        <v>1</v>
      </c>
      <c r="E5039" s="15">
        <v>898.39</v>
      </c>
      <c r="F5039" s="16" t="s">
        <v>8</v>
      </c>
      <c r="G5039" s="14"/>
    </row>
    <row r="5040" spans="2:7" ht="11.25" outlineLevel="7" x14ac:dyDescent="0.2">
      <c r="B5040" s="14" t="s">
        <v>9524</v>
      </c>
      <c r="C5040" s="14" t="s">
        <v>9525</v>
      </c>
      <c r="D5040" s="14">
        <v>1</v>
      </c>
      <c r="E5040" s="17">
        <v>1045.8599999999999</v>
      </c>
      <c r="F5040" s="16" t="s">
        <v>8</v>
      </c>
      <c r="G5040" s="14"/>
    </row>
    <row r="5041" spans="2:7" ht="11.25" outlineLevel="7" x14ac:dyDescent="0.2">
      <c r="B5041" s="14" t="s">
        <v>9526</v>
      </c>
      <c r="C5041" s="14" t="s">
        <v>9527</v>
      </c>
      <c r="D5041" s="14">
        <v>1</v>
      </c>
      <c r="E5041" s="17">
        <v>1590.41</v>
      </c>
      <c r="F5041" s="16" t="s">
        <v>8</v>
      </c>
      <c r="G5041" s="14"/>
    </row>
    <row r="5042" spans="2:7" ht="12" outlineLevel="6" x14ac:dyDescent="0.2">
      <c r="B5042" s="18"/>
      <c r="C5042" s="39" t="s">
        <v>9528</v>
      </c>
      <c r="D5042" s="18"/>
      <c r="E5042" s="19"/>
      <c r="F5042" s="19"/>
      <c r="G5042" s="18"/>
    </row>
    <row r="5043" spans="2:7" ht="11.25" outlineLevel="7" x14ac:dyDescent="0.2">
      <c r="B5043" s="14" t="s">
        <v>9529</v>
      </c>
      <c r="C5043" s="14" t="s">
        <v>9530</v>
      </c>
      <c r="D5043" s="14">
        <v>1</v>
      </c>
      <c r="E5043" s="15">
        <v>54.76</v>
      </c>
      <c r="F5043" s="16" t="s">
        <v>8</v>
      </c>
      <c r="G5043" s="14"/>
    </row>
    <row r="5044" spans="2:7" ht="11.25" outlineLevel="7" x14ac:dyDescent="0.2">
      <c r="B5044" s="14" t="s">
        <v>9531</v>
      </c>
      <c r="C5044" s="14" t="s">
        <v>9532</v>
      </c>
      <c r="D5044" s="14">
        <v>1</v>
      </c>
      <c r="E5044" s="15">
        <v>73.87</v>
      </c>
      <c r="F5044" s="16" t="s">
        <v>8</v>
      </c>
      <c r="G5044" s="14"/>
    </row>
    <row r="5045" spans="2:7" ht="11.25" outlineLevel="7" x14ac:dyDescent="0.2">
      <c r="B5045" s="14" t="s">
        <v>9533</v>
      </c>
      <c r="C5045" s="14" t="s">
        <v>9534</v>
      </c>
      <c r="D5045" s="14">
        <v>1</v>
      </c>
      <c r="E5045" s="15">
        <v>100.91</v>
      </c>
      <c r="F5045" s="16" t="s">
        <v>8</v>
      </c>
      <c r="G5045" s="14"/>
    </row>
    <row r="5046" spans="2:7" ht="11.25" outlineLevel="7" x14ac:dyDescent="0.2">
      <c r="B5046" s="14" t="s">
        <v>9535</v>
      </c>
      <c r="C5046" s="14" t="s">
        <v>9536</v>
      </c>
      <c r="D5046" s="14">
        <v>1</v>
      </c>
      <c r="E5046" s="15">
        <v>139.37</v>
      </c>
      <c r="F5046" s="16" t="s">
        <v>8</v>
      </c>
      <c r="G5046" s="14"/>
    </row>
    <row r="5047" spans="2:7" ht="11.25" outlineLevel="7" x14ac:dyDescent="0.2">
      <c r="B5047" s="14" t="s">
        <v>9537</v>
      </c>
      <c r="C5047" s="14" t="s">
        <v>9538</v>
      </c>
      <c r="D5047" s="14">
        <v>1</v>
      </c>
      <c r="E5047" s="15">
        <v>49.18</v>
      </c>
      <c r="F5047" s="16" t="s">
        <v>8</v>
      </c>
      <c r="G5047" s="14"/>
    </row>
    <row r="5048" spans="2:7" ht="11.25" outlineLevel="7" x14ac:dyDescent="0.2">
      <c r="B5048" s="14" t="s">
        <v>9539</v>
      </c>
      <c r="C5048" s="14" t="s">
        <v>9540</v>
      </c>
      <c r="D5048" s="14">
        <v>1</v>
      </c>
      <c r="E5048" s="15">
        <v>53.9</v>
      </c>
      <c r="F5048" s="16" t="s">
        <v>8</v>
      </c>
      <c r="G5048" s="14"/>
    </row>
    <row r="5049" spans="2:7" ht="12" outlineLevel="6" x14ac:dyDescent="0.2">
      <c r="B5049" s="18"/>
      <c r="C5049" s="39" t="s">
        <v>9541</v>
      </c>
      <c r="D5049" s="18"/>
      <c r="E5049" s="19"/>
      <c r="F5049" s="19"/>
      <c r="G5049" s="18"/>
    </row>
    <row r="5050" spans="2:7" ht="11.25" outlineLevel="7" x14ac:dyDescent="0.2">
      <c r="B5050" s="14" t="s">
        <v>9542</v>
      </c>
      <c r="C5050" s="14" t="s">
        <v>9543</v>
      </c>
      <c r="D5050" s="14">
        <v>1</v>
      </c>
      <c r="E5050" s="15">
        <v>54.76</v>
      </c>
      <c r="F5050" s="16" t="s">
        <v>8</v>
      </c>
      <c r="G5050" s="14"/>
    </row>
    <row r="5051" spans="2:7" ht="11.25" outlineLevel="7" x14ac:dyDescent="0.2">
      <c r="B5051" s="14" t="s">
        <v>9544</v>
      </c>
      <c r="C5051" s="14" t="s">
        <v>9545</v>
      </c>
      <c r="D5051" s="14">
        <v>1</v>
      </c>
      <c r="E5051" s="15">
        <v>73.87</v>
      </c>
      <c r="F5051" s="16" t="s">
        <v>8</v>
      </c>
      <c r="G5051" s="14"/>
    </row>
    <row r="5052" spans="2:7" ht="11.25" outlineLevel="7" x14ac:dyDescent="0.2">
      <c r="B5052" s="14" t="s">
        <v>9546</v>
      </c>
      <c r="C5052" s="14" t="s">
        <v>9547</v>
      </c>
      <c r="D5052" s="14">
        <v>1</v>
      </c>
      <c r="E5052" s="15">
        <v>100.91</v>
      </c>
      <c r="F5052" s="16" t="s">
        <v>8</v>
      </c>
      <c r="G5052" s="14"/>
    </row>
    <row r="5053" spans="2:7" ht="11.25" outlineLevel="7" x14ac:dyDescent="0.2">
      <c r="B5053" s="14" t="s">
        <v>9548</v>
      </c>
      <c r="C5053" s="14" t="s">
        <v>9549</v>
      </c>
      <c r="D5053" s="14">
        <v>1</v>
      </c>
      <c r="E5053" s="15">
        <v>139.37</v>
      </c>
      <c r="F5053" s="16" t="s">
        <v>8</v>
      </c>
      <c r="G5053" s="14"/>
    </row>
    <row r="5054" spans="2:7" ht="11.25" outlineLevel="7" x14ac:dyDescent="0.2">
      <c r="B5054" s="14" t="s">
        <v>9550</v>
      </c>
      <c r="C5054" s="14" t="s">
        <v>9551</v>
      </c>
      <c r="D5054" s="14">
        <v>1</v>
      </c>
      <c r="E5054" s="15">
        <v>192.88</v>
      </c>
      <c r="F5054" s="16" t="s">
        <v>8</v>
      </c>
      <c r="G5054" s="14"/>
    </row>
    <row r="5055" spans="2:7" ht="11.25" outlineLevel="7" x14ac:dyDescent="0.2">
      <c r="B5055" s="14" t="s">
        <v>9552</v>
      </c>
      <c r="C5055" s="14" t="s">
        <v>9553</v>
      </c>
      <c r="D5055" s="14">
        <v>1</v>
      </c>
      <c r="E5055" s="15">
        <v>238.8</v>
      </c>
      <c r="F5055" s="16" t="s">
        <v>8</v>
      </c>
      <c r="G5055" s="14"/>
    </row>
    <row r="5056" spans="2:7" ht="11.25" outlineLevel="7" x14ac:dyDescent="0.2">
      <c r="B5056" s="14" t="s">
        <v>9554</v>
      </c>
      <c r="C5056" s="14" t="s">
        <v>9555</v>
      </c>
      <c r="D5056" s="14">
        <v>1</v>
      </c>
      <c r="E5056" s="15">
        <v>49.18</v>
      </c>
      <c r="F5056" s="16" t="s">
        <v>8</v>
      </c>
      <c r="G5056" s="14"/>
    </row>
    <row r="5057" spans="2:7" ht="11.25" outlineLevel="7" x14ac:dyDescent="0.2">
      <c r="B5057" s="14" t="s">
        <v>9556</v>
      </c>
      <c r="C5057" s="14" t="s">
        <v>9557</v>
      </c>
      <c r="D5057" s="14">
        <v>1</v>
      </c>
      <c r="E5057" s="15">
        <v>284.72000000000003</v>
      </c>
      <c r="F5057" s="16" t="s">
        <v>8</v>
      </c>
      <c r="G5057" s="14"/>
    </row>
    <row r="5058" spans="2:7" ht="12" outlineLevel="6" x14ac:dyDescent="0.2">
      <c r="B5058" s="18"/>
      <c r="C5058" s="39" t="s">
        <v>9558</v>
      </c>
      <c r="D5058" s="18"/>
      <c r="E5058" s="19"/>
      <c r="F5058" s="19"/>
      <c r="G5058" s="18"/>
    </row>
    <row r="5059" spans="2:7" ht="11.25" outlineLevel="7" x14ac:dyDescent="0.2">
      <c r="B5059" s="14" t="s">
        <v>9559</v>
      </c>
      <c r="C5059" s="14" t="s">
        <v>9560</v>
      </c>
      <c r="D5059" s="14">
        <v>1</v>
      </c>
      <c r="E5059" s="15">
        <v>54.76</v>
      </c>
      <c r="F5059" s="16" t="s">
        <v>8</v>
      </c>
      <c r="G5059" s="38" t="str">
        <f>HYPERLINK("http://enext.ua/2713331")</f>
        <v>http://enext.ua/2713331</v>
      </c>
    </row>
    <row r="5060" spans="2:7" ht="11.25" outlineLevel="7" x14ac:dyDescent="0.2">
      <c r="B5060" s="14" t="s">
        <v>9561</v>
      </c>
      <c r="C5060" s="14" t="s">
        <v>9562</v>
      </c>
      <c r="D5060" s="14">
        <v>1</v>
      </c>
      <c r="E5060" s="15">
        <v>73.87</v>
      </c>
      <c r="F5060" s="16" t="s">
        <v>8</v>
      </c>
      <c r="G5060" s="14"/>
    </row>
    <row r="5061" spans="2:7" ht="11.25" outlineLevel="7" x14ac:dyDescent="0.2">
      <c r="B5061" s="14" t="s">
        <v>9563</v>
      </c>
      <c r="C5061" s="14" t="s">
        <v>9564</v>
      </c>
      <c r="D5061" s="14">
        <v>1</v>
      </c>
      <c r="E5061" s="15">
        <v>100.91</v>
      </c>
      <c r="F5061" s="16" t="s">
        <v>8</v>
      </c>
      <c r="G5061" s="14"/>
    </row>
    <row r="5062" spans="2:7" ht="11.25" outlineLevel="7" x14ac:dyDescent="0.2">
      <c r="B5062" s="14" t="s">
        <v>9565</v>
      </c>
      <c r="C5062" s="14" t="s">
        <v>9566</v>
      </c>
      <c r="D5062" s="14">
        <v>1</v>
      </c>
      <c r="E5062" s="15">
        <v>139.37</v>
      </c>
      <c r="F5062" s="16" t="s">
        <v>8</v>
      </c>
      <c r="G5062" s="14"/>
    </row>
    <row r="5063" spans="2:7" ht="11.25" outlineLevel="7" x14ac:dyDescent="0.2">
      <c r="B5063" s="14" t="s">
        <v>9567</v>
      </c>
      <c r="C5063" s="14" t="s">
        <v>9568</v>
      </c>
      <c r="D5063" s="14">
        <v>1</v>
      </c>
      <c r="E5063" s="15">
        <v>192.88</v>
      </c>
      <c r="F5063" s="16" t="s">
        <v>8</v>
      </c>
      <c r="G5063" s="14"/>
    </row>
    <row r="5064" spans="2:7" ht="11.25" outlineLevel="7" x14ac:dyDescent="0.2">
      <c r="B5064" s="14" t="s">
        <v>9569</v>
      </c>
      <c r="C5064" s="14" t="s">
        <v>9570</v>
      </c>
      <c r="D5064" s="14">
        <v>1</v>
      </c>
      <c r="E5064" s="15">
        <v>238.8</v>
      </c>
      <c r="F5064" s="16" t="s">
        <v>8</v>
      </c>
      <c r="G5064" s="14"/>
    </row>
    <row r="5065" spans="2:7" ht="11.25" outlineLevel="7" x14ac:dyDescent="0.2">
      <c r="B5065" s="14" t="s">
        <v>9571</v>
      </c>
      <c r="C5065" s="14" t="s">
        <v>9572</v>
      </c>
      <c r="D5065" s="14">
        <v>1</v>
      </c>
      <c r="E5065" s="15">
        <v>284.72000000000003</v>
      </c>
      <c r="F5065" s="16" t="s">
        <v>8</v>
      </c>
      <c r="G5065" s="14"/>
    </row>
    <row r="5066" spans="2:7" ht="11.25" outlineLevel="7" x14ac:dyDescent="0.2">
      <c r="B5066" s="14" t="s">
        <v>9573</v>
      </c>
      <c r="C5066" s="14" t="s">
        <v>9574</v>
      </c>
      <c r="D5066" s="14">
        <v>1</v>
      </c>
      <c r="E5066" s="15">
        <v>53.9</v>
      </c>
      <c r="F5066" s="16" t="s">
        <v>8</v>
      </c>
      <c r="G5066" s="14"/>
    </row>
    <row r="5067" spans="2:7" ht="12" outlineLevel="6" x14ac:dyDescent="0.2">
      <c r="B5067" s="18"/>
      <c r="C5067" s="39" t="s">
        <v>9575</v>
      </c>
      <c r="D5067" s="18"/>
      <c r="E5067" s="19"/>
      <c r="F5067" s="19"/>
      <c r="G5067" s="18"/>
    </row>
    <row r="5068" spans="2:7" ht="11.25" outlineLevel="7" x14ac:dyDescent="0.2">
      <c r="B5068" s="14" t="s">
        <v>9576</v>
      </c>
      <c r="C5068" s="14" t="s">
        <v>9577</v>
      </c>
      <c r="D5068" s="14">
        <v>1</v>
      </c>
      <c r="E5068" s="15">
        <v>54.76</v>
      </c>
      <c r="F5068" s="16" t="s">
        <v>8</v>
      </c>
      <c r="G5068" s="14"/>
    </row>
    <row r="5069" spans="2:7" ht="11.25" outlineLevel="7" x14ac:dyDescent="0.2">
      <c r="B5069" s="14" t="s">
        <v>9578</v>
      </c>
      <c r="C5069" s="14" t="s">
        <v>9579</v>
      </c>
      <c r="D5069" s="14">
        <v>1</v>
      </c>
      <c r="E5069" s="15">
        <v>73.87</v>
      </c>
      <c r="F5069" s="16" t="s">
        <v>8</v>
      </c>
      <c r="G5069" s="14"/>
    </row>
    <row r="5070" spans="2:7" ht="11.25" outlineLevel="7" x14ac:dyDescent="0.2">
      <c r="B5070" s="14" t="s">
        <v>9580</v>
      </c>
      <c r="C5070" s="14" t="s">
        <v>9581</v>
      </c>
      <c r="D5070" s="14">
        <v>1</v>
      </c>
      <c r="E5070" s="15">
        <v>100.91</v>
      </c>
      <c r="F5070" s="16" t="s">
        <v>8</v>
      </c>
      <c r="G5070" s="14"/>
    </row>
    <row r="5071" spans="2:7" ht="11.25" outlineLevel="7" x14ac:dyDescent="0.2">
      <c r="B5071" s="14" t="s">
        <v>9582</v>
      </c>
      <c r="C5071" s="14" t="s">
        <v>9583</v>
      </c>
      <c r="D5071" s="14">
        <v>1</v>
      </c>
      <c r="E5071" s="15">
        <v>139.37</v>
      </c>
      <c r="F5071" s="16" t="s">
        <v>8</v>
      </c>
      <c r="G5071" s="14"/>
    </row>
    <row r="5072" spans="2:7" ht="11.25" outlineLevel="7" x14ac:dyDescent="0.2">
      <c r="B5072" s="14" t="s">
        <v>9584</v>
      </c>
      <c r="C5072" s="14" t="s">
        <v>9585</v>
      </c>
      <c r="D5072" s="14">
        <v>1</v>
      </c>
      <c r="E5072" s="15">
        <v>192.88</v>
      </c>
      <c r="F5072" s="16" t="s">
        <v>8</v>
      </c>
      <c r="G5072" s="14"/>
    </row>
    <row r="5073" spans="2:7" ht="11.25" outlineLevel="7" x14ac:dyDescent="0.2">
      <c r="B5073" s="14" t="s">
        <v>9586</v>
      </c>
      <c r="C5073" s="14" t="s">
        <v>9587</v>
      </c>
      <c r="D5073" s="14">
        <v>1</v>
      </c>
      <c r="E5073" s="15">
        <v>238.8</v>
      </c>
      <c r="F5073" s="16" t="s">
        <v>8</v>
      </c>
      <c r="G5073" s="14"/>
    </row>
    <row r="5074" spans="2:7" ht="11.25" outlineLevel="7" x14ac:dyDescent="0.2">
      <c r="B5074" s="14" t="s">
        <v>9588</v>
      </c>
      <c r="C5074" s="14" t="s">
        <v>9589</v>
      </c>
      <c r="D5074" s="14">
        <v>1</v>
      </c>
      <c r="E5074" s="15">
        <v>284.72000000000003</v>
      </c>
      <c r="F5074" s="16" t="s">
        <v>8</v>
      </c>
      <c r="G5074" s="14"/>
    </row>
    <row r="5075" spans="2:7" ht="12" outlineLevel="5" x14ac:dyDescent="0.2">
      <c r="B5075" s="18"/>
      <c r="C5075" s="39" t="s">
        <v>9590</v>
      </c>
      <c r="D5075" s="18"/>
      <c r="E5075" s="19"/>
      <c r="F5075" s="19"/>
      <c r="G5075" s="18"/>
    </row>
    <row r="5076" spans="2:7" ht="12" outlineLevel="6" x14ac:dyDescent="0.2">
      <c r="B5076" s="18"/>
      <c r="C5076" s="39" t="s">
        <v>9591</v>
      </c>
      <c r="D5076" s="18"/>
      <c r="E5076" s="19"/>
      <c r="F5076" s="19"/>
      <c r="G5076" s="18"/>
    </row>
    <row r="5077" spans="2:7" ht="11.25" outlineLevel="7" x14ac:dyDescent="0.2">
      <c r="B5077" s="14" t="s">
        <v>9592</v>
      </c>
      <c r="C5077" s="14" t="s">
        <v>9593</v>
      </c>
      <c r="D5077" s="14">
        <v>1</v>
      </c>
      <c r="E5077" s="15">
        <v>304.52</v>
      </c>
      <c r="F5077" s="16" t="s">
        <v>8</v>
      </c>
      <c r="G5077" s="14"/>
    </row>
    <row r="5078" spans="2:7" ht="11.25" outlineLevel="7" x14ac:dyDescent="0.2">
      <c r="B5078" s="14" t="s">
        <v>9594</v>
      </c>
      <c r="C5078" s="14" t="s">
        <v>9595</v>
      </c>
      <c r="D5078" s="14">
        <v>1</v>
      </c>
      <c r="E5078" s="15">
        <v>320.32</v>
      </c>
      <c r="F5078" s="16" t="s">
        <v>8</v>
      </c>
      <c r="G5078" s="14"/>
    </row>
    <row r="5079" spans="2:7" ht="11.25" outlineLevel="7" x14ac:dyDescent="0.2">
      <c r="B5079" s="14" t="s">
        <v>9596</v>
      </c>
      <c r="C5079" s="14" t="s">
        <v>9597</v>
      </c>
      <c r="D5079" s="14">
        <v>1</v>
      </c>
      <c r="E5079" s="15">
        <v>329.7</v>
      </c>
      <c r="F5079" s="16" t="s">
        <v>8</v>
      </c>
      <c r="G5079" s="14"/>
    </row>
    <row r="5080" spans="2:7" ht="11.25" outlineLevel="7" x14ac:dyDescent="0.2">
      <c r="B5080" s="14" t="s">
        <v>9598</v>
      </c>
      <c r="C5080" s="14" t="s">
        <v>9599</v>
      </c>
      <c r="D5080" s="14">
        <v>1</v>
      </c>
      <c r="E5080" s="15">
        <v>385.46</v>
      </c>
      <c r="F5080" s="16" t="s">
        <v>8</v>
      </c>
      <c r="G5080" s="14"/>
    </row>
    <row r="5081" spans="2:7" ht="11.25" outlineLevel="7" x14ac:dyDescent="0.2">
      <c r="B5081" s="14" t="s">
        <v>9600</v>
      </c>
      <c r="C5081" s="14" t="s">
        <v>9601</v>
      </c>
      <c r="D5081" s="14">
        <v>1</v>
      </c>
      <c r="E5081" s="15">
        <v>411.25</v>
      </c>
      <c r="F5081" s="16" t="s">
        <v>8</v>
      </c>
      <c r="G5081" s="14"/>
    </row>
    <row r="5082" spans="2:7" ht="11.25" outlineLevel="7" x14ac:dyDescent="0.2">
      <c r="B5082" s="14" t="s">
        <v>9602</v>
      </c>
      <c r="C5082" s="14" t="s">
        <v>9603</v>
      </c>
      <c r="D5082" s="14">
        <v>1</v>
      </c>
      <c r="E5082" s="15">
        <v>495.52</v>
      </c>
      <c r="F5082" s="16" t="s">
        <v>8</v>
      </c>
      <c r="G5082" s="14"/>
    </row>
    <row r="5083" spans="2:7" ht="12" outlineLevel="6" x14ac:dyDescent="0.2">
      <c r="B5083" s="18"/>
      <c r="C5083" s="39" t="s">
        <v>9604</v>
      </c>
      <c r="D5083" s="18"/>
      <c r="E5083" s="19"/>
      <c r="F5083" s="19"/>
      <c r="G5083" s="18"/>
    </row>
    <row r="5084" spans="2:7" ht="11.25" outlineLevel="7" x14ac:dyDescent="0.2">
      <c r="B5084" s="14" t="s">
        <v>9605</v>
      </c>
      <c r="C5084" s="14" t="s">
        <v>9606</v>
      </c>
      <c r="D5084" s="14">
        <v>1</v>
      </c>
      <c r="E5084" s="15">
        <v>470.65</v>
      </c>
      <c r="F5084" s="16" t="s">
        <v>8</v>
      </c>
      <c r="G5084" s="38" t="str">
        <f>HYPERLINK("http://enext.ua/2723230")</f>
        <v>http://enext.ua/2723230</v>
      </c>
    </row>
    <row r="5085" spans="2:7" ht="11.25" outlineLevel="7" x14ac:dyDescent="0.2">
      <c r="B5085" s="14" t="s">
        <v>9607</v>
      </c>
      <c r="C5085" s="14" t="s">
        <v>9608</v>
      </c>
      <c r="D5085" s="14">
        <v>1</v>
      </c>
      <c r="E5085" s="15">
        <v>551.64</v>
      </c>
      <c r="F5085" s="16" t="s">
        <v>8</v>
      </c>
      <c r="G5085" s="14"/>
    </row>
    <row r="5086" spans="2:7" ht="11.25" outlineLevel="7" x14ac:dyDescent="0.2">
      <c r="B5086" s="14" t="s">
        <v>9609</v>
      </c>
      <c r="C5086" s="14" t="s">
        <v>9610</v>
      </c>
      <c r="D5086" s="14">
        <v>1</v>
      </c>
      <c r="E5086" s="15">
        <v>630.16</v>
      </c>
      <c r="F5086" s="16" t="s">
        <v>8</v>
      </c>
      <c r="G5086" s="38" t="str">
        <f>HYPERLINK("http://enext.ua/2725230")</f>
        <v>http://enext.ua/2725230</v>
      </c>
    </row>
    <row r="5087" spans="2:7" ht="11.25" outlineLevel="7" x14ac:dyDescent="0.2">
      <c r="B5087" s="14" t="s">
        <v>9611</v>
      </c>
      <c r="C5087" s="14" t="s">
        <v>9612</v>
      </c>
      <c r="D5087" s="14">
        <v>1</v>
      </c>
      <c r="E5087" s="15">
        <v>729.01</v>
      </c>
      <c r="F5087" s="16" t="s">
        <v>8</v>
      </c>
      <c r="G5087" s="14"/>
    </row>
    <row r="5088" spans="2:7" ht="11.25" outlineLevel="7" x14ac:dyDescent="0.2">
      <c r="B5088" s="14" t="s">
        <v>9613</v>
      </c>
      <c r="C5088" s="14" t="s">
        <v>9614</v>
      </c>
      <c r="D5088" s="14">
        <v>1</v>
      </c>
      <c r="E5088" s="15">
        <v>829.94</v>
      </c>
      <c r="F5088" s="16" t="s">
        <v>8</v>
      </c>
      <c r="G5088" s="14"/>
    </row>
    <row r="5089" spans="2:7" ht="11.25" outlineLevel="7" x14ac:dyDescent="0.2">
      <c r="B5089" s="14" t="s">
        <v>9615</v>
      </c>
      <c r="C5089" s="14" t="s">
        <v>9616</v>
      </c>
      <c r="D5089" s="14">
        <v>1</v>
      </c>
      <c r="E5089" s="15">
        <v>969.97</v>
      </c>
      <c r="F5089" s="16" t="s">
        <v>8</v>
      </c>
      <c r="G5089" s="14"/>
    </row>
    <row r="5090" spans="2:7" ht="11.25" outlineLevel="7" x14ac:dyDescent="0.2">
      <c r="B5090" s="14" t="s">
        <v>9617</v>
      </c>
      <c r="C5090" s="14" t="s">
        <v>9618</v>
      </c>
      <c r="D5090" s="14">
        <v>1</v>
      </c>
      <c r="E5090" s="15">
        <v>461.86</v>
      </c>
      <c r="F5090" s="16" t="s">
        <v>8</v>
      </c>
      <c r="G5090" s="14"/>
    </row>
    <row r="5091" spans="2:7" ht="11.25" outlineLevel="7" x14ac:dyDescent="0.2">
      <c r="B5091" s="14" t="s">
        <v>9619</v>
      </c>
      <c r="C5091" s="14" t="s">
        <v>9620</v>
      </c>
      <c r="D5091" s="14">
        <v>1</v>
      </c>
      <c r="E5091" s="17">
        <v>1234.24</v>
      </c>
      <c r="F5091" s="16" t="s">
        <v>8</v>
      </c>
      <c r="G5091" s="14"/>
    </row>
    <row r="5092" spans="2:7" ht="12" outlineLevel="6" x14ac:dyDescent="0.2">
      <c r="B5092" s="18"/>
      <c r="C5092" s="39" t="s">
        <v>9621</v>
      </c>
      <c r="D5092" s="18"/>
      <c r="E5092" s="19"/>
      <c r="F5092" s="19"/>
      <c r="G5092" s="18"/>
    </row>
    <row r="5093" spans="2:7" ht="11.25" outlineLevel="7" x14ac:dyDescent="0.2">
      <c r="B5093" s="14" t="s">
        <v>9622</v>
      </c>
      <c r="C5093" s="14" t="s">
        <v>9623</v>
      </c>
      <c r="D5093" s="14">
        <v>1</v>
      </c>
      <c r="E5093" s="15">
        <v>480.77</v>
      </c>
      <c r="F5093" s="16" t="s">
        <v>8</v>
      </c>
      <c r="G5093" s="14"/>
    </row>
    <row r="5094" spans="2:7" ht="11.25" outlineLevel="7" x14ac:dyDescent="0.2">
      <c r="B5094" s="14" t="s">
        <v>9624</v>
      </c>
      <c r="C5094" s="14" t="s">
        <v>9625</v>
      </c>
      <c r="D5094" s="14">
        <v>1</v>
      </c>
      <c r="E5094" s="15">
        <v>565.78</v>
      </c>
      <c r="F5094" s="16" t="s">
        <v>8</v>
      </c>
      <c r="G5094" s="14"/>
    </row>
    <row r="5095" spans="2:7" ht="11.25" outlineLevel="7" x14ac:dyDescent="0.2">
      <c r="B5095" s="14" t="s">
        <v>9626</v>
      </c>
      <c r="C5095" s="14" t="s">
        <v>9627</v>
      </c>
      <c r="D5095" s="14">
        <v>1</v>
      </c>
      <c r="E5095" s="15">
        <v>635.63</v>
      </c>
      <c r="F5095" s="16" t="s">
        <v>8</v>
      </c>
      <c r="G5095" s="14"/>
    </row>
    <row r="5096" spans="2:7" ht="11.25" outlineLevel="7" x14ac:dyDescent="0.2">
      <c r="B5096" s="14" t="s">
        <v>9628</v>
      </c>
      <c r="C5096" s="14" t="s">
        <v>9629</v>
      </c>
      <c r="D5096" s="14">
        <v>1</v>
      </c>
      <c r="E5096" s="15">
        <v>749.59</v>
      </c>
      <c r="F5096" s="16" t="s">
        <v>8</v>
      </c>
      <c r="G5096" s="14"/>
    </row>
    <row r="5097" spans="2:7" ht="11.25" outlineLevel="7" x14ac:dyDescent="0.2">
      <c r="B5097" s="14" t="s">
        <v>9630</v>
      </c>
      <c r="C5097" s="14" t="s">
        <v>9631</v>
      </c>
      <c r="D5097" s="14">
        <v>1</v>
      </c>
      <c r="E5097" s="15">
        <v>843.32</v>
      </c>
      <c r="F5097" s="16" t="s">
        <v>8</v>
      </c>
      <c r="G5097" s="14"/>
    </row>
    <row r="5098" spans="2:7" ht="11.25" outlineLevel="7" x14ac:dyDescent="0.2">
      <c r="B5098" s="14" t="s">
        <v>9632</v>
      </c>
      <c r="C5098" s="14" t="s">
        <v>9633</v>
      </c>
      <c r="D5098" s="14">
        <v>1</v>
      </c>
      <c r="E5098" s="15">
        <v>982.54</v>
      </c>
      <c r="F5098" s="16" t="s">
        <v>8</v>
      </c>
      <c r="G5098" s="14"/>
    </row>
    <row r="5099" spans="2:7" ht="11.25" outlineLevel="7" x14ac:dyDescent="0.2">
      <c r="B5099" s="14" t="s">
        <v>9634</v>
      </c>
      <c r="C5099" s="14" t="s">
        <v>9635</v>
      </c>
      <c r="D5099" s="14">
        <v>1</v>
      </c>
      <c r="E5099" s="17">
        <v>1475.98</v>
      </c>
      <c r="F5099" s="16" t="s">
        <v>8</v>
      </c>
      <c r="G5099" s="14"/>
    </row>
    <row r="5100" spans="2:7" ht="11.25" outlineLevel="7" x14ac:dyDescent="0.2">
      <c r="B5100" s="14" t="s">
        <v>9636</v>
      </c>
      <c r="C5100" s="14" t="s">
        <v>9637</v>
      </c>
      <c r="D5100" s="14">
        <v>1</v>
      </c>
      <c r="E5100" s="15">
        <v>477.19</v>
      </c>
      <c r="F5100" s="16" t="s">
        <v>8</v>
      </c>
      <c r="G5100" s="14"/>
    </row>
    <row r="5101" spans="2:7" ht="12" outlineLevel="6" x14ac:dyDescent="0.2">
      <c r="B5101" s="18"/>
      <c r="C5101" s="39" t="s">
        <v>9638</v>
      </c>
      <c r="D5101" s="18"/>
      <c r="E5101" s="19"/>
      <c r="F5101" s="19"/>
      <c r="G5101" s="18"/>
    </row>
    <row r="5102" spans="2:7" ht="11.25" outlineLevel="7" x14ac:dyDescent="0.2">
      <c r="B5102" s="14" t="s">
        <v>9639</v>
      </c>
      <c r="C5102" s="14" t="s">
        <v>9640</v>
      </c>
      <c r="D5102" s="14">
        <v>1</v>
      </c>
      <c r="E5102" s="15">
        <v>542.48</v>
      </c>
      <c r="F5102" s="16" t="s">
        <v>8</v>
      </c>
      <c r="G5102" s="14"/>
    </row>
    <row r="5103" spans="2:7" ht="11.25" outlineLevel="7" x14ac:dyDescent="0.2">
      <c r="B5103" s="14" t="s">
        <v>9641</v>
      </c>
      <c r="C5103" s="14" t="s">
        <v>9642</v>
      </c>
      <c r="D5103" s="14">
        <v>1</v>
      </c>
      <c r="E5103" s="15">
        <v>637.91</v>
      </c>
      <c r="F5103" s="16" t="s">
        <v>8</v>
      </c>
      <c r="G5103" s="14"/>
    </row>
    <row r="5104" spans="2:7" ht="11.25" outlineLevel="7" x14ac:dyDescent="0.2">
      <c r="B5104" s="14" t="s">
        <v>9643</v>
      </c>
      <c r="C5104" s="14" t="s">
        <v>9644</v>
      </c>
      <c r="D5104" s="14">
        <v>1</v>
      </c>
      <c r="E5104" s="15">
        <v>688.25</v>
      </c>
      <c r="F5104" s="16" t="s">
        <v>8</v>
      </c>
      <c r="G5104" s="14"/>
    </row>
    <row r="5105" spans="2:7" ht="11.25" outlineLevel="7" x14ac:dyDescent="0.2">
      <c r="B5105" s="14" t="s">
        <v>9645</v>
      </c>
      <c r="C5105" s="14" t="s">
        <v>9646</v>
      </c>
      <c r="D5105" s="14">
        <v>1</v>
      </c>
      <c r="E5105" s="15">
        <v>847.98</v>
      </c>
      <c r="F5105" s="16" t="s">
        <v>8</v>
      </c>
      <c r="G5105" s="14"/>
    </row>
    <row r="5106" spans="2:7" ht="11.25" outlineLevel="7" x14ac:dyDescent="0.2">
      <c r="B5106" s="14" t="s">
        <v>9647</v>
      </c>
      <c r="C5106" s="14" t="s">
        <v>9648</v>
      </c>
      <c r="D5106" s="14">
        <v>1</v>
      </c>
      <c r="E5106" s="15">
        <v>941.18</v>
      </c>
      <c r="F5106" s="16" t="s">
        <v>8</v>
      </c>
      <c r="G5106" s="14"/>
    </row>
    <row r="5107" spans="2:7" ht="11.25" outlineLevel="7" x14ac:dyDescent="0.2">
      <c r="B5107" s="14" t="s">
        <v>9649</v>
      </c>
      <c r="C5107" s="14" t="s">
        <v>9650</v>
      </c>
      <c r="D5107" s="14">
        <v>1</v>
      </c>
      <c r="E5107" s="17">
        <v>1095.6400000000001</v>
      </c>
      <c r="F5107" s="16" t="s">
        <v>8</v>
      </c>
      <c r="G5107" s="14"/>
    </row>
    <row r="5108" spans="2:7" ht="11.25" outlineLevel="7" x14ac:dyDescent="0.2">
      <c r="B5108" s="14" t="s">
        <v>9651</v>
      </c>
      <c r="C5108" s="14" t="s">
        <v>9652</v>
      </c>
      <c r="D5108" s="14">
        <v>1</v>
      </c>
      <c r="E5108" s="17">
        <v>1666.16</v>
      </c>
      <c r="F5108" s="16" t="s">
        <v>8</v>
      </c>
      <c r="G5108" s="14"/>
    </row>
    <row r="5109" spans="2:7" ht="12" outlineLevel="6" x14ac:dyDescent="0.2">
      <c r="B5109" s="18"/>
      <c r="C5109" s="39" t="s">
        <v>9653</v>
      </c>
      <c r="D5109" s="18"/>
      <c r="E5109" s="19"/>
      <c r="F5109" s="19"/>
      <c r="G5109" s="18"/>
    </row>
    <row r="5110" spans="2:7" ht="11.25" outlineLevel="7" x14ac:dyDescent="0.2">
      <c r="B5110" s="14" t="s">
        <v>9654</v>
      </c>
      <c r="C5110" s="14" t="s">
        <v>9655</v>
      </c>
      <c r="D5110" s="14">
        <v>1</v>
      </c>
      <c r="E5110" s="15">
        <v>61.54</v>
      </c>
      <c r="F5110" s="16" t="s">
        <v>8</v>
      </c>
      <c r="G5110" s="14"/>
    </row>
    <row r="5111" spans="2:7" ht="11.25" outlineLevel="7" x14ac:dyDescent="0.2">
      <c r="B5111" s="14" t="s">
        <v>9656</v>
      </c>
      <c r="C5111" s="14" t="s">
        <v>9657</v>
      </c>
      <c r="D5111" s="14">
        <v>1</v>
      </c>
      <c r="E5111" s="15">
        <v>88.25</v>
      </c>
      <c r="F5111" s="16" t="s">
        <v>8</v>
      </c>
      <c r="G5111" s="14"/>
    </row>
    <row r="5112" spans="2:7" ht="11.25" outlineLevel="7" x14ac:dyDescent="0.2">
      <c r="B5112" s="14" t="s">
        <v>9658</v>
      </c>
      <c r="C5112" s="14" t="s">
        <v>9659</v>
      </c>
      <c r="D5112" s="14">
        <v>1</v>
      </c>
      <c r="E5112" s="15">
        <v>121.14</v>
      </c>
      <c r="F5112" s="16" t="s">
        <v>8</v>
      </c>
      <c r="G5112" s="14"/>
    </row>
    <row r="5113" spans="2:7" ht="11.25" outlineLevel="7" x14ac:dyDescent="0.2">
      <c r="B5113" s="14" t="s">
        <v>9660</v>
      </c>
      <c r="C5113" s="14" t="s">
        <v>9661</v>
      </c>
      <c r="D5113" s="14">
        <v>1</v>
      </c>
      <c r="E5113" s="15">
        <v>195.25</v>
      </c>
      <c r="F5113" s="16" t="s">
        <v>8</v>
      </c>
      <c r="G5113" s="14"/>
    </row>
    <row r="5114" spans="2:7" ht="11.25" outlineLevel="7" x14ac:dyDescent="0.2">
      <c r="B5114" s="14" t="s">
        <v>9662</v>
      </c>
      <c r="C5114" s="14" t="s">
        <v>9663</v>
      </c>
      <c r="D5114" s="14">
        <v>1</v>
      </c>
      <c r="E5114" s="15">
        <v>294.49</v>
      </c>
      <c r="F5114" s="16" t="s">
        <v>8</v>
      </c>
      <c r="G5114" s="14"/>
    </row>
    <row r="5115" spans="2:7" ht="11.25" outlineLevel="7" x14ac:dyDescent="0.2">
      <c r="B5115" s="14" t="s">
        <v>9664</v>
      </c>
      <c r="C5115" s="14" t="s">
        <v>9665</v>
      </c>
      <c r="D5115" s="14">
        <v>1</v>
      </c>
      <c r="E5115" s="15">
        <v>43.38</v>
      </c>
      <c r="F5115" s="16" t="s">
        <v>8</v>
      </c>
      <c r="G5115" s="14"/>
    </row>
    <row r="5116" spans="2:7" ht="11.25" outlineLevel="7" x14ac:dyDescent="0.2">
      <c r="B5116" s="14" t="s">
        <v>9666</v>
      </c>
      <c r="C5116" s="14" t="s">
        <v>9667</v>
      </c>
      <c r="D5116" s="14">
        <v>1</v>
      </c>
      <c r="E5116" s="15">
        <v>412.62</v>
      </c>
      <c r="F5116" s="16" t="s">
        <v>8</v>
      </c>
      <c r="G5116" s="14"/>
    </row>
    <row r="5117" spans="2:7" ht="11.25" outlineLevel="7" x14ac:dyDescent="0.2">
      <c r="B5117" s="14" t="s">
        <v>9668</v>
      </c>
      <c r="C5117" s="14" t="s">
        <v>9669</v>
      </c>
      <c r="D5117" s="14">
        <v>1</v>
      </c>
      <c r="E5117" s="15">
        <v>546.6</v>
      </c>
      <c r="F5117" s="16" t="s">
        <v>8</v>
      </c>
      <c r="G5117" s="14"/>
    </row>
    <row r="5118" spans="2:7" ht="11.25" outlineLevel="7" x14ac:dyDescent="0.2">
      <c r="B5118" s="14" t="s">
        <v>9670</v>
      </c>
      <c r="C5118" s="14" t="s">
        <v>9671</v>
      </c>
      <c r="D5118" s="14">
        <v>1</v>
      </c>
      <c r="E5118" s="15">
        <v>53.92</v>
      </c>
      <c r="F5118" s="16" t="s">
        <v>8</v>
      </c>
      <c r="G5118" s="14"/>
    </row>
    <row r="5119" spans="2:7" ht="12" outlineLevel="5" x14ac:dyDescent="0.2">
      <c r="B5119" s="18"/>
      <c r="C5119" s="39" t="s">
        <v>9672</v>
      </c>
      <c r="D5119" s="18"/>
      <c r="E5119" s="19"/>
      <c r="F5119" s="19"/>
      <c r="G5119" s="18"/>
    </row>
    <row r="5120" spans="2:7" ht="12" outlineLevel="6" x14ac:dyDescent="0.2">
      <c r="B5120" s="18"/>
      <c r="C5120" s="39" t="s">
        <v>9673</v>
      </c>
      <c r="D5120" s="18"/>
      <c r="E5120" s="19"/>
      <c r="F5120" s="19"/>
      <c r="G5120" s="18"/>
    </row>
    <row r="5121" spans="2:7" ht="11.25" outlineLevel="7" x14ac:dyDescent="0.2">
      <c r="B5121" s="14" t="s">
        <v>9674</v>
      </c>
      <c r="C5121" s="14" t="s">
        <v>9675</v>
      </c>
      <c r="D5121" s="14">
        <v>1</v>
      </c>
      <c r="E5121" s="15">
        <v>329.7</v>
      </c>
      <c r="F5121" s="16" t="s">
        <v>8</v>
      </c>
      <c r="G5121" s="14"/>
    </row>
    <row r="5122" spans="2:7" ht="11.25" outlineLevel="7" x14ac:dyDescent="0.2">
      <c r="B5122" s="14" t="s">
        <v>9676</v>
      </c>
      <c r="C5122" s="14" t="s">
        <v>9677</v>
      </c>
      <c r="D5122" s="14">
        <v>1</v>
      </c>
      <c r="E5122" s="15">
        <v>385.46</v>
      </c>
      <c r="F5122" s="16" t="s">
        <v>8</v>
      </c>
      <c r="G5122" s="14"/>
    </row>
    <row r="5123" spans="2:7" ht="11.25" outlineLevel="7" x14ac:dyDescent="0.2">
      <c r="B5123" s="14" t="s">
        <v>9678</v>
      </c>
      <c r="C5123" s="14" t="s">
        <v>9679</v>
      </c>
      <c r="D5123" s="14">
        <v>1</v>
      </c>
      <c r="E5123" s="15">
        <v>411.25</v>
      </c>
      <c r="F5123" s="16" t="s">
        <v>8</v>
      </c>
      <c r="G5123" s="14"/>
    </row>
    <row r="5124" spans="2:7" ht="11.25" outlineLevel="7" x14ac:dyDescent="0.2">
      <c r="B5124" s="14" t="s">
        <v>9680</v>
      </c>
      <c r="C5124" s="14" t="s">
        <v>9681</v>
      </c>
      <c r="D5124" s="14">
        <v>1</v>
      </c>
      <c r="E5124" s="15">
        <v>495.52</v>
      </c>
      <c r="F5124" s="16" t="s">
        <v>8</v>
      </c>
      <c r="G5124" s="14"/>
    </row>
    <row r="5125" spans="2:7" ht="11.25" outlineLevel="7" x14ac:dyDescent="0.2">
      <c r="B5125" s="14" t="s">
        <v>9682</v>
      </c>
      <c r="C5125" s="14" t="s">
        <v>9683</v>
      </c>
      <c r="D5125" s="14">
        <v>1</v>
      </c>
      <c r="E5125" s="15">
        <v>304.52</v>
      </c>
      <c r="F5125" s="16" t="s">
        <v>8</v>
      </c>
      <c r="G5125" s="14"/>
    </row>
    <row r="5126" spans="2:7" ht="11.25" outlineLevel="7" x14ac:dyDescent="0.2">
      <c r="B5126" s="14" t="s">
        <v>9684</v>
      </c>
      <c r="C5126" s="14" t="s">
        <v>9685</v>
      </c>
      <c r="D5126" s="14">
        <v>1</v>
      </c>
      <c r="E5126" s="15">
        <v>320.32</v>
      </c>
      <c r="F5126" s="16" t="s">
        <v>8</v>
      </c>
      <c r="G5126" s="14"/>
    </row>
    <row r="5127" spans="2:7" ht="12" outlineLevel="6" x14ac:dyDescent="0.2">
      <c r="B5127" s="18"/>
      <c r="C5127" s="39" t="s">
        <v>9686</v>
      </c>
      <c r="D5127" s="18"/>
      <c r="E5127" s="19"/>
      <c r="F5127" s="19"/>
      <c r="G5127" s="18"/>
    </row>
    <row r="5128" spans="2:7" ht="11.25" outlineLevel="7" x14ac:dyDescent="0.2">
      <c r="B5128" s="14" t="s">
        <v>9687</v>
      </c>
      <c r="C5128" s="14" t="s">
        <v>9688</v>
      </c>
      <c r="D5128" s="14">
        <v>1</v>
      </c>
      <c r="E5128" s="15">
        <v>470.65</v>
      </c>
      <c r="F5128" s="16" t="s">
        <v>8</v>
      </c>
      <c r="G5128" s="38" t="str">
        <f>HYPERLINK("http://enext.ua/2733230")</f>
        <v>http://enext.ua/2733230</v>
      </c>
    </row>
    <row r="5129" spans="2:7" ht="11.25" outlineLevel="7" x14ac:dyDescent="0.2">
      <c r="B5129" s="14" t="s">
        <v>9689</v>
      </c>
      <c r="C5129" s="14" t="s">
        <v>9690</v>
      </c>
      <c r="D5129" s="14">
        <v>1</v>
      </c>
      <c r="E5129" s="15">
        <v>551.64</v>
      </c>
      <c r="F5129" s="16" t="s">
        <v>8</v>
      </c>
      <c r="G5129" s="14"/>
    </row>
    <row r="5130" spans="2:7" ht="11.25" outlineLevel="7" x14ac:dyDescent="0.2">
      <c r="B5130" s="14" t="s">
        <v>9691</v>
      </c>
      <c r="C5130" s="14" t="s">
        <v>9692</v>
      </c>
      <c r="D5130" s="14">
        <v>1</v>
      </c>
      <c r="E5130" s="15">
        <v>630.16</v>
      </c>
      <c r="F5130" s="16" t="s">
        <v>8</v>
      </c>
      <c r="G5130" s="38" t="str">
        <f>HYPERLINK("http://enext.ua/2735230")</f>
        <v>http://enext.ua/2735230</v>
      </c>
    </row>
    <row r="5131" spans="2:7" ht="11.25" outlineLevel="7" x14ac:dyDescent="0.2">
      <c r="B5131" s="14" t="s">
        <v>9693</v>
      </c>
      <c r="C5131" s="14" t="s">
        <v>9694</v>
      </c>
      <c r="D5131" s="14">
        <v>1</v>
      </c>
      <c r="E5131" s="15">
        <v>729.01</v>
      </c>
      <c r="F5131" s="16" t="s">
        <v>8</v>
      </c>
      <c r="G5131" s="14"/>
    </row>
    <row r="5132" spans="2:7" ht="11.25" outlineLevel="7" x14ac:dyDescent="0.2">
      <c r="B5132" s="14" t="s">
        <v>9695</v>
      </c>
      <c r="C5132" s="14" t="s">
        <v>9696</v>
      </c>
      <c r="D5132" s="14">
        <v>1</v>
      </c>
      <c r="E5132" s="15">
        <v>829.94</v>
      </c>
      <c r="F5132" s="16" t="s">
        <v>8</v>
      </c>
      <c r="G5132" s="14"/>
    </row>
    <row r="5133" spans="2:7" ht="11.25" outlineLevel="7" x14ac:dyDescent="0.2">
      <c r="B5133" s="14" t="s">
        <v>9697</v>
      </c>
      <c r="C5133" s="14" t="s">
        <v>9698</v>
      </c>
      <c r="D5133" s="14">
        <v>1</v>
      </c>
      <c r="E5133" s="15">
        <v>969.97</v>
      </c>
      <c r="F5133" s="16" t="s">
        <v>8</v>
      </c>
      <c r="G5133" s="14"/>
    </row>
    <row r="5134" spans="2:7" ht="11.25" outlineLevel="7" x14ac:dyDescent="0.2">
      <c r="B5134" s="14" t="s">
        <v>9699</v>
      </c>
      <c r="C5134" s="14" t="s">
        <v>9700</v>
      </c>
      <c r="D5134" s="14">
        <v>1</v>
      </c>
      <c r="E5134" s="15">
        <v>461.86</v>
      </c>
      <c r="F5134" s="16" t="s">
        <v>8</v>
      </c>
      <c r="G5134" s="14"/>
    </row>
    <row r="5135" spans="2:7" ht="11.25" outlineLevel="7" x14ac:dyDescent="0.2">
      <c r="B5135" s="14" t="s">
        <v>9701</v>
      </c>
      <c r="C5135" s="14" t="s">
        <v>9702</v>
      </c>
      <c r="D5135" s="14">
        <v>1</v>
      </c>
      <c r="E5135" s="17">
        <v>1234.24</v>
      </c>
      <c r="F5135" s="16" t="s">
        <v>8</v>
      </c>
      <c r="G5135" s="14"/>
    </row>
    <row r="5136" spans="2:7" ht="12" outlineLevel="6" x14ac:dyDescent="0.2">
      <c r="B5136" s="18"/>
      <c r="C5136" s="39" t="s">
        <v>9703</v>
      </c>
      <c r="D5136" s="18"/>
      <c r="E5136" s="19"/>
      <c r="F5136" s="19"/>
      <c r="G5136" s="18"/>
    </row>
    <row r="5137" spans="2:7" ht="11.25" outlineLevel="7" x14ac:dyDescent="0.2">
      <c r="B5137" s="14" t="s">
        <v>9704</v>
      </c>
      <c r="C5137" s="14" t="s">
        <v>9705</v>
      </c>
      <c r="D5137" s="14">
        <v>1</v>
      </c>
      <c r="E5137" s="15">
        <v>480.77</v>
      </c>
      <c r="F5137" s="16" t="s">
        <v>8</v>
      </c>
      <c r="G5137" s="14"/>
    </row>
    <row r="5138" spans="2:7" ht="11.25" outlineLevel="7" x14ac:dyDescent="0.2">
      <c r="B5138" s="14" t="s">
        <v>9706</v>
      </c>
      <c r="C5138" s="14" t="s">
        <v>9707</v>
      </c>
      <c r="D5138" s="14">
        <v>1</v>
      </c>
      <c r="E5138" s="15">
        <v>565.78</v>
      </c>
      <c r="F5138" s="16" t="s">
        <v>8</v>
      </c>
      <c r="G5138" s="14"/>
    </row>
    <row r="5139" spans="2:7" ht="11.25" outlineLevel="7" x14ac:dyDescent="0.2">
      <c r="B5139" s="14" t="s">
        <v>9708</v>
      </c>
      <c r="C5139" s="14" t="s">
        <v>9709</v>
      </c>
      <c r="D5139" s="14">
        <v>1</v>
      </c>
      <c r="E5139" s="15">
        <v>635.63</v>
      </c>
      <c r="F5139" s="16" t="s">
        <v>8</v>
      </c>
      <c r="G5139" s="14"/>
    </row>
    <row r="5140" spans="2:7" ht="11.25" outlineLevel="7" x14ac:dyDescent="0.2">
      <c r="B5140" s="14" t="s">
        <v>9710</v>
      </c>
      <c r="C5140" s="14" t="s">
        <v>9711</v>
      </c>
      <c r="D5140" s="14">
        <v>1</v>
      </c>
      <c r="E5140" s="15">
        <v>749.59</v>
      </c>
      <c r="F5140" s="16" t="s">
        <v>8</v>
      </c>
      <c r="G5140" s="14"/>
    </row>
    <row r="5141" spans="2:7" ht="11.25" outlineLevel="7" x14ac:dyDescent="0.2">
      <c r="B5141" s="14" t="s">
        <v>9712</v>
      </c>
      <c r="C5141" s="14" t="s">
        <v>9713</v>
      </c>
      <c r="D5141" s="14">
        <v>1</v>
      </c>
      <c r="E5141" s="15">
        <v>843.32</v>
      </c>
      <c r="F5141" s="16" t="s">
        <v>8</v>
      </c>
      <c r="G5141" s="14"/>
    </row>
    <row r="5142" spans="2:7" ht="11.25" outlineLevel="7" x14ac:dyDescent="0.2">
      <c r="B5142" s="14" t="s">
        <v>9714</v>
      </c>
      <c r="C5142" s="14" t="s">
        <v>9715</v>
      </c>
      <c r="D5142" s="14">
        <v>1</v>
      </c>
      <c r="E5142" s="15">
        <v>982.54</v>
      </c>
      <c r="F5142" s="16" t="s">
        <v>8</v>
      </c>
      <c r="G5142" s="14"/>
    </row>
    <row r="5143" spans="2:7" ht="11.25" outlineLevel="7" x14ac:dyDescent="0.2">
      <c r="B5143" s="14" t="s">
        <v>9716</v>
      </c>
      <c r="C5143" s="14" t="s">
        <v>9717</v>
      </c>
      <c r="D5143" s="14">
        <v>1</v>
      </c>
      <c r="E5143" s="17">
        <v>1475.98</v>
      </c>
      <c r="F5143" s="16" t="s">
        <v>8</v>
      </c>
      <c r="G5143" s="14"/>
    </row>
    <row r="5144" spans="2:7" ht="11.25" outlineLevel="7" x14ac:dyDescent="0.2">
      <c r="B5144" s="14" t="s">
        <v>9718</v>
      </c>
      <c r="C5144" s="14" t="s">
        <v>9719</v>
      </c>
      <c r="D5144" s="14">
        <v>1</v>
      </c>
      <c r="E5144" s="15">
        <v>477.19</v>
      </c>
      <c r="F5144" s="16" t="s">
        <v>8</v>
      </c>
      <c r="G5144" s="14"/>
    </row>
    <row r="5145" spans="2:7" ht="12" outlineLevel="6" x14ac:dyDescent="0.2">
      <c r="B5145" s="18"/>
      <c r="C5145" s="39" t="s">
        <v>9720</v>
      </c>
      <c r="D5145" s="18"/>
      <c r="E5145" s="19"/>
      <c r="F5145" s="19"/>
      <c r="G5145" s="18"/>
    </row>
    <row r="5146" spans="2:7" ht="11.25" outlineLevel="7" x14ac:dyDescent="0.2">
      <c r="B5146" s="14" t="s">
        <v>9721</v>
      </c>
      <c r="C5146" s="14" t="s">
        <v>9722</v>
      </c>
      <c r="D5146" s="14">
        <v>1</v>
      </c>
      <c r="E5146" s="15">
        <v>542.48</v>
      </c>
      <c r="F5146" s="16" t="s">
        <v>8</v>
      </c>
      <c r="G5146" s="14"/>
    </row>
    <row r="5147" spans="2:7" ht="11.25" outlineLevel="7" x14ac:dyDescent="0.2">
      <c r="B5147" s="14" t="s">
        <v>9723</v>
      </c>
      <c r="C5147" s="14" t="s">
        <v>9724</v>
      </c>
      <c r="D5147" s="14">
        <v>1</v>
      </c>
      <c r="E5147" s="15">
        <v>637.91</v>
      </c>
      <c r="F5147" s="16" t="s">
        <v>8</v>
      </c>
      <c r="G5147" s="14"/>
    </row>
    <row r="5148" spans="2:7" ht="11.25" outlineLevel="7" x14ac:dyDescent="0.2">
      <c r="B5148" s="14" t="s">
        <v>9725</v>
      </c>
      <c r="C5148" s="14" t="s">
        <v>9726</v>
      </c>
      <c r="D5148" s="14">
        <v>1</v>
      </c>
      <c r="E5148" s="15">
        <v>688.25</v>
      </c>
      <c r="F5148" s="16" t="s">
        <v>8</v>
      </c>
      <c r="G5148" s="14"/>
    </row>
    <row r="5149" spans="2:7" ht="11.25" outlineLevel="7" x14ac:dyDescent="0.2">
      <c r="B5149" s="14" t="s">
        <v>9727</v>
      </c>
      <c r="C5149" s="14" t="s">
        <v>9728</v>
      </c>
      <c r="D5149" s="14">
        <v>1</v>
      </c>
      <c r="E5149" s="15">
        <v>847.98</v>
      </c>
      <c r="F5149" s="16" t="s">
        <v>8</v>
      </c>
      <c r="G5149" s="14"/>
    </row>
    <row r="5150" spans="2:7" ht="11.25" outlineLevel="7" x14ac:dyDescent="0.2">
      <c r="B5150" s="14" t="s">
        <v>9729</v>
      </c>
      <c r="C5150" s="14" t="s">
        <v>9730</v>
      </c>
      <c r="D5150" s="14">
        <v>1</v>
      </c>
      <c r="E5150" s="15">
        <v>941.18</v>
      </c>
      <c r="F5150" s="16" t="s">
        <v>8</v>
      </c>
      <c r="G5150" s="14"/>
    </row>
    <row r="5151" spans="2:7" ht="11.25" outlineLevel="7" x14ac:dyDescent="0.2">
      <c r="B5151" s="14" t="s">
        <v>9731</v>
      </c>
      <c r="C5151" s="14" t="s">
        <v>9732</v>
      </c>
      <c r="D5151" s="14">
        <v>1</v>
      </c>
      <c r="E5151" s="17">
        <v>1095.6400000000001</v>
      </c>
      <c r="F5151" s="16" t="s">
        <v>8</v>
      </c>
      <c r="G5151" s="14"/>
    </row>
    <row r="5152" spans="2:7" ht="11.25" outlineLevel="7" x14ac:dyDescent="0.2">
      <c r="B5152" s="14" t="s">
        <v>9733</v>
      </c>
      <c r="C5152" s="14" t="s">
        <v>9734</v>
      </c>
      <c r="D5152" s="14">
        <v>1</v>
      </c>
      <c r="E5152" s="17">
        <v>1666.16</v>
      </c>
      <c r="F5152" s="16" t="s">
        <v>8</v>
      </c>
      <c r="G5152" s="14"/>
    </row>
    <row r="5153" spans="2:7" ht="12" outlineLevel="5" x14ac:dyDescent="0.2">
      <c r="B5153" s="18"/>
      <c r="C5153" s="39" t="s">
        <v>9735</v>
      </c>
      <c r="D5153" s="18"/>
      <c r="E5153" s="19"/>
      <c r="F5153" s="19"/>
      <c r="G5153" s="18"/>
    </row>
    <row r="5154" spans="2:7" ht="12" outlineLevel="6" x14ac:dyDescent="0.2">
      <c r="B5154" s="18"/>
      <c r="C5154" s="39" t="s">
        <v>9736</v>
      </c>
      <c r="D5154" s="18"/>
      <c r="E5154" s="19"/>
      <c r="F5154" s="19"/>
      <c r="G5154" s="18"/>
    </row>
    <row r="5155" spans="2:7" ht="11.25" outlineLevel="7" x14ac:dyDescent="0.2">
      <c r="B5155" s="14" t="s">
        <v>9737</v>
      </c>
      <c r="C5155" s="14" t="s">
        <v>9738</v>
      </c>
      <c r="D5155" s="14">
        <v>1</v>
      </c>
      <c r="E5155" s="15">
        <v>96.16</v>
      </c>
      <c r="F5155" s="16" t="s">
        <v>8</v>
      </c>
      <c r="G5155" s="14"/>
    </row>
    <row r="5156" spans="2:7" ht="11.25" outlineLevel="7" x14ac:dyDescent="0.2">
      <c r="B5156" s="14" t="s">
        <v>9739</v>
      </c>
      <c r="C5156" s="14" t="s">
        <v>9740</v>
      </c>
      <c r="D5156" s="14">
        <v>1</v>
      </c>
      <c r="E5156" s="15">
        <v>102.06</v>
      </c>
      <c r="F5156" s="16" t="s">
        <v>8</v>
      </c>
      <c r="G5156" s="14"/>
    </row>
    <row r="5157" spans="2:7" ht="11.25" outlineLevel="7" x14ac:dyDescent="0.2">
      <c r="B5157" s="14" t="s">
        <v>9741</v>
      </c>
      <c r="C5157" s="14" t="s">
        <v>9742</v>
      </c>
      <c r="D5157" s="14">
        <v>1</v>
      </c>
      <c r="E5157" s="15">
        <v>108.01</v>
      </c>
      <c r="F5157" s="16" t="s">
        <v>8</v>
      </c>
      <c r="G5157" s="14"/>
    </row>
    <row r="5158" spans="2:7" ht="11.25" outlineLevel="7" x14ac:dyDescent="0.2">
      <c r="B5158" s="14" t="s">
        <v>9743</v>
      </c>
      <c r="C5158" s="14" t="s">
        <v>9744</v>
      </c>
      <c r="D5158" s="14">
        <v>1</v>
      </c>
      <c r="E5158" s="15">
        <v>119.84</v>
      </c>
      <c r="F5158" s="16" t="s">
        <v>8</v>
      </c>
      <c r="G5158" s="14"/>
    </row>
    <row r="5159" spans="2:7" ht="11.25" outlineLevel="7" x14ac:dyDescent="0.2">
      <c r="B5159" s="14" t="s">
        <v>9745</v>
      </c>
      <c r="C5159" s="14" t="s">
        <v>9746</v>
      </c>
      <c r="D5159" s="14">
        <v>1</v>
      </c>
      <c r="E5159" s="15">
        <v>90.24</v>
      </c>
      <c r="F5159" s="16" t="s">
        <v>8</v>
      </c>
      <c r="G5159" s="14"/>
    </row>
    <row r="5160" spans="2:7" ht="11.25" outlineLevel="7" x14ac:dyDescent="0.2">
      <c r="B5160" s="14" t="s">
        <v>9747</v>
      </c>
      <c r="C5160" s="14" t="s">
        <v>9748</v>
      </c>
      <c r="D5160" s="14">
        <v>1</v>
      </c>
      <c r="E5160" s="15">
        <v>93.82</v>
      </c>
      <c r="F5160" s="16" t="s">
        <v>8</v>
      </c>
      <c r="G5160" s="14"/>
    </row>
    <row r="5161" spans="2:7" ht="12" outlineLevel="6" x14ac:dyDescent="0.2">
      <c r="B5161" s="18"/>
      <c r="C5161" s="39" t="s">
        <v>9749</v>
      </c>
      <c r="D5161" s="18"/>
      <c r="E5161" s="19"/>
      <c r="F5161" s="19"/>
      <c r="G5161" s="18"/>
    </row>
    <row r="5162" spans="2:7" ht="11.25" outlineLevel="7" x14ac:dyDescent="0.2">
      <c r="B5162" s="14" t="s">
        <v>9750</v>
      </c>
      <c r="C5162" s="14" t="s">
        <v>9751</v>
      </c>
      <c r="D5162" s="14">
        <v>1</v>
      </c>
      <c r="E5162" s="15">
        <v>154.82</v>
      </c>
      <c r="F5162" s="16" t="s">
        <v>8</v>
      </c>
      <c r="G5162" s="14"/>
    </row>
    <row r="5163" spans="2:7" ht="11.25" outlineLevel="7" x14ac:dyDescent="0.2">
      <c r="B5163" s="14" t="s">
        <v>9752</v>
      </c>
      <c r="C5163" s="14" t="s">
        <v>9753</v>
      </c>
      <c r="D5163" s="14">
        <v>1</v>
      </c>
      <c r="E5163" s="15">
        <v>159.85</v>
      </c>
      <c r="F5163" s="16" t="s">
        <v>8</v>
      </c>
      <c r="G5163" s="14"/>
    </row>
    <row r="5164" spans="2:7" ht="11.25" outlineLevel="7" x14ac:dyDescent="0.2">
      <c r="B5164" s="14" t="s">
        <v>9754</v>
      </c>
      <c r="C5164" s="14" t="s">
        <v>9755</v>
      </c>
      <c r="D5164" s="14">
        <v>1</v>
      </c>
      <c r="E5164" s="15">
        <v>163.28</v>
      </c>
      <c r="F5164" s="16" t="s">
        <v>8</v>
      </c>
      <c r="G5164" s="14"/>
    </row>
    <row r="5165" spans="2:7" ht="11.25" outlineLevel="7" x14ac:dyDescent="0.2">
      <c r="B5165" s="14" t="s">
        <v>9756</v>
      </c>
      <c r="C5165" s="14" t="s">
        <v>9757</v>
      </c>
      <c r="D5165" s="14">
        <v>1</v>
      </c>
      <c r="E5165" s="15">
        <v>168.82</v>
      </c>
      <c r="F5165" s="16" t="s">
        <v>8</v>
      </c>
      <c r="G5165" s="14"/>
    </row>
    <row r="5166" spans="2:7" ht="11.25" outlineLevel="7" x14ac:dyDescent="0.2">
      <c r="B5166" s="14" t="s">
        <v>9758</v>
      </c>
      <c r="C5166" s="14" t="s">
        <v>9759</v>
      </c>
      <c r="D5166" s="14">
        <v>1</v>
      </c>
      <c r="E5166" s="15">
        <v>184</v>
      </c>
      <c r="F5166" s="16" t="s">
        <v>8</v>
      </c>
      <c r="G5166" s="14"/>
    </row>
    <row r="5167" spans="2:7" ht="11.25" outlineLevel="7" x14ac:dyDescent="0.2">
      <c r="B5167" s="14" t="s">
        <v>9760</v>
      </c>
      <c r="C5167" s="14" t="s">
        <v>9761</v>
      </c>
      <c r="D5167" s="14">
        <v>1</v>
      </c>
      <c r="E5167" s="15">
        <v>192.98</v>
      </c>
      <c r="F5167" s="16" t="s">
        <v>8</v>
      </c>
      <c r="G5167" s="14"/>
    </row>
    <row r="5168" spans="2:7" ht="11.25" outlineLevel="7" x14ac:dyDescent="0.2">
      <c r="B5168" s="14" t="s">
        <v>9762</v>
      </c>
      <c r="C5168" s="14" t="s">
        <v>9763</v>
      </c>
      <c r="D5168" s="14">
        <v>1</v>
      </c>
      <c r="E5168" s="15">
        <v>150.22999999999999</v>
      </c>
      <c r="F5168" s="16" t="s">
        <v>8</v>
      </c>
      <c r="G5168" s="14"/>
    </row>
    <row r="5169" spans="2:7" ht="11.25" outlineLevel="7" x14ac:dyDescent="0.2">
      <c r="B5169" s="14" t="s">
        <v>9764</v>
      </c>
      <c r="C5169" s="14" t="s">
        <v>9765</v>
      </c>
      <c r="D5169" s="14">
        <v>1</v>
      </c>
      <c r="E5169" s="15">
        <v>214.03</v>
      </c>
      <c r="F5169" s="16" t="s">
        <v>8</v>
      </c>
      <c r="G5169" s="14"/>
    </row>
    <row r="5170" spans="2:7" ht="12" outlineLevel="6" x14ac:dyDescent="0.2">
      <c r="B5170" s="18"/>
      <c r="C5170" s="39" t="s">
        <v>9766</v>
      </c>
      <c r="D5170" s="18"/>
      <c r="E5170" s="19"/>
      <c r="F5170" s="19"/>
      <c r="G5170" s="18"/>
    </row>
    <row r="5171" spans="2:7" ht="11.25" outlineLevel="7" x14ac:dyDescent="0.2">
      <c r="B5171" s="14" t="s">
        <v>9767</v>
      </c>
      <c r="C5171" s="14" t="s">
        <v>9768</v>
      </c>
      <c r="D5171" s="14">
        <v>1</v>
      </c>
      <c r="E5171" s="15">
        <v>174.38</v>
      </c>
      <c r="F5171" s="16" t="s">
        <v>8</v>
      </c>
      <c r="G5171" s="14"/>
    </row>
    <row r="5172" spans="2:7" ht="11.25" outlineLevel="7" x14ac:dyDescent="0.2">
      <c r="B5172" s="14" t="s">
        <v>9769</v>
      </c>
      <c r="C5172" s="14" t="s">
        <v>9770</v>
      </c>
      <c r="D5172" s="14">
        <v>1</v>
      </c>
      <c r="E5172" s="15">
        <v>178.4</v>
      </c>
      <c r="F5172" s="16" t="s">
        <v>8</v>
      </c>
      <c r="G5172" s="14"/>
    </row>
    <row r="5173" spans="2:7" ht="11.25" outlineLevel="7" x14ac:dyDescent="0.2">
      <c r="B5173" s="14" t="s">
        <v>9771</v>
      </c>
      <c r="C5173" s="14" t="s">
        <v>9772</v>
      </c>
      <c r="D5173" s="14">
        <v>1</v>
      </c>
      <c r="E5173" s="15">
        <v>182.54</v>
      </c>
      <c r="F5173" s="16" t="s">
        <v>8</v>
      </c>
      <c r="G5173" s="14"/>
    </row>
    <row r="5174" spans="2:7" ht="11.25" outlineLevel="7" x14ac:dyDescent="0.2">
      <c r="B5174" s="14" t="s">
        <v>9773</v>
      </c>
      <c r="C5174" s="14" t="s">
        <v>9774</v>
      </c>
      <c r="D5174" s="14">
        <v>1</v>
      </c>
      <c r="E5174" s="15">
        <v>190.73</v>
      </c>
      <c r="F5174" s="16" t="s">
        <v>8</v>
      </c>
      <c r="G5174" s="14"/>
    </row>
    <row r="5175" spans="2:7" ht="11.25" outlineLevel="7" x14ac:dyDescent="0.2">
      <c r="B5175" s="14" t="s">
        <v>9775</v>
      </c>
      <c r="C5175" s="14" t="s">
        <v>9776</v>
      </c>
      <c r="D5175" s="14">
        <v>1</v>
      </c>
      <c r="E5175" s="15">
        <v>210.5</v>
      </c>
      <c r="F5175" s="16" t="s">
        <v>8</v>
      </c>
      <c r="G5175" s="14"/>
    </row>
    <row r="5176" spans="2:7" ht="11.25" outlineLevel="7" x14ac:dyDescent="0.2">
      <c r="B5176" s="14" t="s">
        <v>9777</v>
      </c>
      <c r="C5176" s="14" t="s">
        <v>9778</v>
      </c>
      <c r="D5176" s="14">
        <v>1</v>
      </c>
      <c r="E5176" s="15">
        <v>219.88</v>
      </c>
      <c r="F5176" s="16" t="s">
        <v>8</v>
      </c>
      <c r="G5176" s="14"/>
    </row>
    <row r="5177" spans="2:7" ht="11.25" outlineLevel="7" x14ac:dyDescent="0.2">
      <c r="B5177" s="14" t="s">
        <v>9779</v>
      </c>
      <c r="C5177" s="14" t="s">
        <v>9780</v>
      </c>
      <c r="D5177" s="14">
        <v>1</v>
      </c>
      <c r="E5177" s="15">
        <v>231.02</v>
      </c>
      <c r="F5177" s="16" t="s">
        <v>8</v>
      </c>
      <c r="G5177" s="14"/>
    </row>
    <row r="5178" spans="2:7" ht="11.25" outlineLevel="7" x14ac:dyDescent="0.2">
      <c r="B5178" s="14" t="s">
        <v>9781</v>
      </c>
      <c r="C5178" s="14" t="s">
        <v>9782</v>
      </c>
      <c r="D5178" s="14">
        <v>1</v>
      </c>
      <c r="E5178" s="15">
        <v>172.3</v>
      </c>
      <c r="F5178" s="16" t="s">
        <v>8</v>
      </c>
      <c r="G5178" s="14"/>
    </row>
    <row r="5179" spans="2:7" ht="12" outlineLevel="6" x14ac:dyDescent="0.2">
      <c r="B5179" s="18"/>
      <c r="C5179" s="39" t="s">
        <v>9783</v>
      </c>
      <c r="D5179" s="18"/>
      <c r="E5179" s="19"/>
      <c r="F5179" s="19"/>
      <c r="G5179" s="18"/>
    </row>
    <row r="5180" spans="2:7" ht="11.25" outlineLevel="7" x14ac:dyDescent="0.2">
      <c r="B5180" s="14" t="s">
        <v>9784</v>
      </c>
      <c r="C5180" s="14" t="s">
        <v>9785</v>
      </c>
      <c r="D5180" s="14">
        <v>1</v>
      </c>
      <c r="E5180" s="15">
        <v>193.39</v>
      </c>
      <c r="F5180" s="16" t="s">
        <v>8</v>
      </c>
      <c r="G5180" s="14"/>
    </row>
    <row r="5181" spans="2:7" ht="11.25" outlineLevel="7" x14ac:dyDescent="0.2">
      <c r="B5181" s="14" t="s">
        <v>9786</v>
      </c>
      <c r="C5181" s="14" t="s">
        <v>9787</v>
      </c>
      <c r="D5181" s="14">
        <v>1</v>
      </c>
      <c r="E5181" s="15">
        <v>198.04</v>
      </c>
      <c r="F5181" s="16" t="s">
        <v>8</v>
      </c>
      <c r="G5181" s="14"/>
    </row>
    <row r="5182" spans="2:7" ht="11.25" outlineLevel="7" x14ac:dyDescent="0.2">
      <c r="B5182" s="14" t="s">
        <v>9788</v>
      </c>
      <c r="C5182" s="14" t="s">
        <v>9789</v>
      </c>
      <c r="D5182" s="14">
        <v>1</v>
      </c>
      <c r="E5182" s="15">
        <v>202.13</v>
      </c>
      <c r="F5182" s="16" t="s">
        <v>8</v>
      </c>
      <c r="G5182" s="14"/>
    </row>
    <row r="5183" spans="2:7" ht="11.25" outlineLevel="7" x14ac:dyDescent="0.2">
      <c r="B5183" s="14" t="s">
        <v>9790</v>
      </c>
      <c r="C5183" s="14" t="s">
        <v>9791</v>
      </c>
      <c r="D5183" s="14">
        <v>1</v>
      </c>
      <c r="E5183" s="15">
        <v>210.24</v>
      </c>
      <c r="F5183" s="16" t="s">
        <v>8</v>
      </c>
      <c r="G5183" s="14"/>
    </row>
    <row r="5184" spans="2:7" ht="11.25" outlineLevel="7" x14ac:dyDescent="0.2">
      <c r="B5184" s="14" t="s">
        <v>9792</v>
      </c>
      <c r="C5184" s="14" t="s">
        <v>9793</v>
      </c>
      <c r="D5184" s="14">
        <v>1</v>
      </c>
      <c r="E5184" s="15">
        <v>231.37</v>
      </c>
      <c r="F5184" s="16" t="s">
        <v>8</v>
      </c>
      <c r="G5184" s="14"/>
    </row>
    <row r="5185" spans="2:7" ht="11.25" outlineLevel="7" x14ac:dyDescent="0.2">
      <c r="B5185" s="14" t="s">
        <v>9794</v>
      </c>
      <c r="C5185" s="14" t="s">
        <v>9795</v>
      </c>
      <c r="D5185" s="14">
        <v>1</v>
      </c>
      <c r="E5185" s="15">
        <v>241.43</v>
      </c>
      <c r="F5185" s="16" t="s">
        <v>8</v>
      </c>
      <c r="G5185" s="14"/>
    </row>
    <row r="5186" spans="2:7" ht="11.25" outlineLevel="7" x14ac:dyDescent="0.2">
      <c r="B5186" s="14" t="s">
        <v>9796</v>
      </c>
      <c r="C5186" s="14" t="s">
        <v>9797</v>
      </c>
      <c r="D5186" s="14">
        <v>1</v>
      </c>
      <c r="E5186" s="15">
        <v>251.7</v>
      </c>
      <c r="F5186" s="16" t="s">
        <v>8</v>
      </c>
      <c r="G5186" s="14"/>
    </row>
    <row r="5187" spans="2:7" ht="12" outlineLevel="6" x14ac:dyDescent="0.2">
      <c r="B5187" s="18"/>
      <c r="C5187" s="39" t="s">
        <v>9798</v>
      </c>
      <c r="D5187" s="18"/>
      <c r="E5187" s="19"/>
      <c r="F5187" s="19"/>
      <c r="G5187" s="18"/>
    </row>
    <row r="5188" spans="2:7" ht="11.25" outlineLevel="7" x14ac:dyDescent="0.2">
      <c r="B5188" s="14" t="s">
        <v>9799</v>
      </c>
      <c r="C5188" s="14" t="s">
        <v>9800</v>
      </c>
      <c r="D5188" s="14">
        <v>1</v>
      </c>
      <c r="E5188" s="15">
        <v>33.619999999999997</v>
      </c>
      <c r="F5188" s="16" t="s">
        <v>8</v>
      </c>
      <c r="G5188" s="14"/>
    </row>
    <row r="5189" spans="2:7" ht="11.25" outlineLevel="7" x14ac:dyDescent="0.2">
      <c r="B5189" s="14" t="s">
        <v>9801</v>
      </c>
      <c r="C5189" s="14" t="s">
        <v>9802</v>
      </c>
      <c r="D5189" s="14">
        <v>1</v>
      </c>
      <c r="E5189" s="15">
        <v>40.549999999999997</v>
      </c>
      <c r="F5189" s="16" t="s">
        <v>8</v>
      </c>
      <c r="G5189" s="14"/>
    </row>
    <row r="5190" spans="2:7" ht="11.25" outlineLevel="7" x14ac:dyDescent="0.2">
      <c r="B5190" s="14" t="s">
        <v>9803</v>
      </c>
      <c r="C5190" s="14" t="s">
        <v>9804</v>
      </c>
      <c r="D5190" s="14">
        <v>1</v>
      </c>
      <c r="E5190" s="15">
        <v>47.64</v>
      </c>
      <c r="F5190" s="16" t="s">
        <v>8</v>
      </c>
      <c r="G5190" s="14"/>
    </row>
    <row r="5191" spans="2:7" ht="11.25" outlineLevel="7" x14ac:dyDescent="0.2">
      <c r="B5191" s="14" t="s">
        <v>9805</v>
      </c>
      <c r="C5191" s="14" t="s">
        <v>9806</v>
      </c>
      <c r="D5191" s="14">
        <v>1</v>
      </c>
      <c r="E5191" s="15">
        <v>61.8</v>
      </c>
      <c r="F5191" s="16" t="s">
        <v>8</v>
      </c>
      <c r="G5191" s="14"/>
    </row>
    <row r="5192" spans="2:7" ht="11.25" outlineLevel="7" x14ac:dyDescent="0.2">
      <c r="B5192" s="14" t="s">
        <v>9807</v>
      </c>
      <c r="C5192" s="14" t="s">
        <v>9808</v>
      </c>
      <c r="D5192" s="14">
        <v>1</v>
      </c>
      <c r="E5192" s="15">
        <v>74.540000000000006</v>
      </c>
      <c r="F5192" s="16" t="s">
        <v>8</v>
      </c>
      <c r="G5192" s="14"/>
    </row>
    <row r="5193" spans="2:7" ht="11.25" outlineLevel="7" x14ac:dyDescent="0.2">
      <c r="B5193" s="14" t="s">
        <v>9809</v>
      </c>
      <c r="C5193" s="14" t="s">
        <v>9810</v>
      </c>
      <c r="D5193" s="14">
        <v>1</v>
      </c>
      <c r="E5193" s="15">
        <v>26.54</v>
      </c>
      <c r="F5193" s="16" t="s">
        <v>8</v>
      </c>
      <c r="G5193" s="14"/>
    </row>
    <row r="5194" spans="2:7" ht="11.25" outlineLevel="7" x14ac:dyDescent="0.2">
      <c r="B5194" s="14" t="s">
        <v>9811</v>
      </c>
      <c r="C5194" s="14" t="s">
        <v>9812</v>
      </c>
      <c r="D5194" s="14">
        <v>1</v>
      </c>
      <c r="E5194" s="15">
        <v>90.02</v>
      </c>
      <c r="F5194" s="16" t="s">
        <v>8</v>
      </c>
      <c r="G5194" s="14"/>
    </row>
    <row r="5195" spans="2:7" ht="11.25" outlineLevel="7" x14ac:dyDescent="0.2">
      <c r="B5195" s="14" t="s">
        <v>9813</v>
      </c>
      <c r="C5195" s="14" t="s">
        <v>9814</v>
      </c>
      <c r="D5195" s="14">
        <v>1</v>
      </c>
      <c r="E5195" s="15">
        <v>104.14</v>
      </c>
      <c r="F5195" s="16" t="s">
        <v>8</v>
      </c>
      <c r="G5195" s="14"/>
    </row>
    <row r="5196" spans="2:7" ht="11.25" outlineLevel="7" x14ac:dyDescent="0.2">
      <c r="B5196" s="14" t="s">
        <v>9815</v>
      </c>
      <c r="C5196" s="14" t="s">
        <v>9816</v>
      </c>
      <c r="D5196" s="14">
        <v>1</v>
      </c>
      <c r="E5196" s="15">
        <v>30.77</v>
      </c>
      <c r="F5196" s="16" t="s">
        <v>8</v>
      </c>
      <c r="G5196" s="14"/>
    </row>
    <row r="5197" spans="2:7" ht="12" outlineLevel="5" x14ac:dyDescent="0.2">
      <c r="B5197" s="18"/>
      <c r="C5197" s="39" t="s">
        <v>9817</v>
      </c>
      <c r="D5197" s="18"/>
      <c r="E5197" s="19"/>
      <c r="F5197" s="19"/>
      <c r="G5197" s="18"/>
    </row>
    <row r="5198" spans="2:7" ht="12" outlineLevel="6" x14ac:dyDescent="0.2">
      <c r="B5198" s="18"/>
      <c r="C5198" s="39" t="s">
        <v>9818</v>
      </c>
      <c r="D5198" s="18"/>
      <c r="E5198" s="19"/>
      <c r="F5198" s="19"/>
      <c r="G5198" s="18"/>
    </row>
    <row r="5199" spans="2:7" ht="11.25" outlineLevel="7" x14ac:dyDescent="0.2">
      <c r="B5199" s="14" t="s">
        <v>9819</v>
      </c>
      <c r="C5199" s="14" t="s">
        <v>9820</v>
      </c>
      <c r="D5199" s="14">
        <v>1</v>
      </c>
      <c r="E5199" s="15">
        <v>328.15</v>
      </c>
      <c r="F5199" s="16" t="s">
        <v>8</v>
      </c>
      <c r="G5199" s="14"/>
    </row>
    <row r="5200" spans="2:7" ht="11.25" outlineLevel="7" x14ac:dyDescent="0.2">
      <c r="B5200" s="14" t="s">
        <v>9821</v>
      </c>
      <c r="C5200" s="14" t="s">
        <v>9822</v>
      </c>
      <c r="D5200" s="14">
        <v>1</v>
      </c>
      <c r="E5200" s="15">
        <v>323.92</v>
      </c>
      <c r="F5200" s="16" t="s">
        <v>8</v>
      </c>
      <c r="G5200" s="14"/>
    </row>
    <row r="5201" spans="2:7" ht="11.25" outlineLevel="7" x14ac:dyDescent="0.2">
      <c r="B5201" s="14" t="s">
        <v>9823</v>
      </c>
      <c r="C5201" s="14" t="s">
        <v>9824</v>
      </c>
      <c r="D5201" s="14">
        <v>1</v>
      </c>
      <c r="E5201" s="15">
        <v>378.68</v>
      </c>
      <c r="F5201" s="16" t="s">
        <v>8</v>
      </c>
      <c r="G5201" s="14"/>
    </row>
    <row r="5202" spans="2:7" ht="11.25" outlineLevel="7" x14ac:dyDescent="0.2">
      <c r="B5202" s="14" t="s">
        <v>9825</v>
      </c>
      <c r="C5202" s="14" t="s">
        <v>9826</v>
      </c>
      <c r="D5202" s="14">
        <v>1</v>
      </c>
      <c r="E5202" s="15">
        <v>427.78</v>
      </c>
      <c r="F5202" s="16" t="s">
        <v>8</v>
      </c>
      <c r="G5202" s="14"/>
    </row>
    <row r="5203" spans="2:7" ht="11.25" outlineLevel="7" x14ac:dyDescent="0.2">
      <c r="B5203" s="14" t="s">
        <v>9827</v>
      </c>
      <c r="C5203" s="14" t="s">
        <v>9828</v>
      </c>
      <c r="D5203" s="14">
        <v>1</v>
      </c>
      <c r="E5203" s="15">
        <v>515.47</v>
      </c>
      <c r="F5203" s="16" t="s">
        <v>8</v>
      </c>
      <c r="G5203" s="14"/>
    </row>
    <row r="5204" spans="2:7" ht="11.25" outlineLevel="7" x14ac:dyDescent="0.2">
      <c r="B5204" s="14" t="s">
        <v>9829</v>
      </c>
      <c r="C5204" s="14" t="s">
        <v>9830</v>
      </c>
      <c r="D5204" s="14">
        <v>1</v>
      </c>
      <c r="E5204" s="15">
        <v>299.18</v>
      </c>
      <c r="F5204" s="16" t="s">
        <v>8</v>
      </c>
      <c r="G5204" s="14"/>
    </row>
    <row r="5205" spans="2:7" ht="11.25" outlineLevel="7" x14ac:dyDescent="0.2">
      <c r="B5205" s="14" t="s">
        <v>9831</v>
      </c>
      <c r="C5205" s="14" t="s">
        <v>9832</v>
      </c>
      <c r="D5205" s="14">
        <v>1</v>
      </c>
      <c r="E5205" s="15">
        <v>314.7</v>
      </c>
      <c r="F5205" s="16" t="s">
        <v>8</v>
      </c>
      <c r="G5205" s="14"/>
    </row>
    <row r="5206" spans="2:7" ht="12" outlineLevel="6" x14ac:dyDescent="0.2">
      <c r="B5206" s="18"/>
      <c r="C5206" s="39" t="s">
        <v>9833</v>
      </c>
      <c r="D5206" s="18"/>
      <c r="E5206" s="19"/>
      <c r="F5206" s="19"/>
      <c r="G5206" s="18"/>
    </row>
    <row r="5207" spans="2:7" ht="11.25" outlineLevel="7" x14ac:dyDescent="0.2">
      <c r="B5207" s="14" t="s">
        <v>9834</v>
      </c>
      <c r="C5207" s="14" t="s">
        <v>9835</v>
      </c>
      <c r="D5207" s="14">
        <v>1</v>
      </c>
      <c r="E5207" s="15">
        <v>366.35</v>
      </c>
      <c r="F5207" s="16" t="s">
        <v>8</v>
      </c>
      <c r="G5207" s="14"/>
    </row>
    <row r="5208" spans="2:7" ht="11.25" outlineLevel="7" x14ac:dyDescent="0.2">
      <c r="B5208" s="14" t="s">
        <v>9836</v>
      </c>
      <c r="C5208" s="14" t="s">
        <v>9837</v>
      </c>
      <c r="D5208" s="14">
        <v>1</v>
      </c>
      <c r="E5208" s="15">
        <v>429.38</v>
      </c>
      <c r="F5208" s="16" t="s">
        <v>8</v>
      </c>
      <c r="G5208" s="14"/>
    </row>
    <row r="5209" spans="2:7" ht="11.25" outlineLevel="7" x14ac:dyDescent="0.2">
      <c r="B5209" s="14" t="s">
        <v>9838</v>
      </c>
      <c r="C5209" s="14" t="s">
        <v>9839</v>
      </c>
      <c r="D5209" s="14">
        <v>1</v>
      </c>
      <c r="E5209" s="15">
        <v>490.49</v>
      </c>
      <c r="F5209" s="16" t="s">
        <v>8</v>
      </c>
      <c r="G5209" s="14"/>
    </row>
    <row r="5210" spans="2:7" ht="11.25" outlineLevel="7" x14ac:dyDescent="0.2">
      <c r="B5210" s="14" t="s">
        <v>9840</v>
      </c>
      <c r="C5210" s="14" t="s">
        <v>9841</v>
      </c>
      <c r="D5210" s="14">
        <v>1</v>
      </c>
      <c r="E5210" s="15">
        <v>600.82000000000005</v>
      </c>
      <c r="F5210" s="16" t="s">
        <v>8</v>
      </c>
      <c r="G5210" s="14"/>
    </row>
    <row r="5211" spans="2:7" ht="11.25" outlineLevel="7" x14ac:dyDescent="0.2">
      <c r="B5211" s="14" t="s">
        <v>9842</v>
      </c>
      <c r="C5211" s="14" t="s">
        <v>9843</v>
      </c>
      <c r="D5211" s="14">
        <v>1</v>
      </c>
      <c r="E5211" s="15">
        <v>638.41</v>
      </c>
      <c r="F5211" s="16" t="s">
        <v>8</v>
      </c>
      <c r="G5211" s="14"/>
    </row>
    <row r="5212" spans="2:7" ht="11.25" outlineLevel="7" x14ac:dyDescent="0.2">
      <c r="B5212" s="14" t="s">
        <v>9844</v>
      </c>
      <c r="C5212" s="14" t="s">
        <v>9845</v>
      </c>
      <c r="D5212" s="14">
        <v>1</v>
      </c>
      <c r="E5212" s="15">
        <v>746.14</v>
      </c>
      <c r="F5212" s="16" t="s">
        <v>8</v>
      </c>
      <c r="G5212" s="14"/>
    </row>
    <row r="5213" spans="2:7" ht="11.25" outlineLevel="7" x14ac:dyDescent="0.2">
      <c r="B5213" s="14" t="s">
        <v>9846</v>
      </c>
      <c r="C5213" s="14" t="s">
        <v>9847</v>
      </c>
      <c r="D5213" s="14">
        <v>1</v>
      </c>
      <c r="E5213" s="15">
        <v>359.51</v>
      </c>
      <c r="F5213" s="16" t="s">
        <v>8</v>
      </c>
      <c r="G5213" s="14"/>
    </row>
    <row r="5214" spans="2:7" ht="11.25" outlineLevel="7" x14ac:dyDescent="0.2">
      <c r="B5214" s="14" t="s">
        <v>9848</v>
      </c>
      <c r="C5214" s="14" t="s">
        <v>9849</v>
      </c>
      <c r="D5214" s="14">
        <v>1</v>
      </c>
      <c r="E5214" s="15">
        <v>949.42</v>
      </c>
      <c r="F5214" s="16" t="s">
        <v>8</v>
      </c>
      <c r="G5214" s="14"/>
    </row>
    <row r="5215" spans="2:7" ht="12" outlineLevel="6" x14ac:dyDescent="0.2">
      <c r="B5215" s="18"/>
      <c r="C5215" s="39" t="s">
        <v>9850</v>
      </c>
      <c r="D5215" s="18"/>
      <c r="E5215" s="19"/>
      <c r="F5215" s="19"/>
      <c r="G5215" s="18"/>
    </row>
    <row r="5216" spans="2:7" ht="11.25" outlineLevel="7" x14ac:dyDescent="0.2">
      <c r="B5216" s="14" t="s">
        <v>9851</v>
      </c>
      <c r="C5216" s="14" t="s">
        <v>9852</v>
      </c>
      <c r="D5216" s="14">
        <v>1</v>
      </c>
      <c r="E5216" s="15">
        <v>374.21</v>
      </c>
      <c r="F5216" s="16" t="s">
        <v>8</v>
      </c>
      <c r="G5216" s="14"/>
    </row>
    <row r="5217" spans="2:7" ht="11.25" outlineLevel="7" x14ac:dyDescent="0.2">
      <c r="B5217" s="14" t="s">
        <v>9853</v>
      </c>
      <c r="C5217" s="14" t="s">
        <v>9854</v>
      </c>
      <c r="D5217" s="14">
        <v>1</v>
      </c>
      <c r="E5217" s="15">
        <v>440.42</v>
      </c>
      <c r="F5217" s="16" t="s">
        <v>8</v>
      </c>
      <c r="G5217" s="14"/>
    </row>
    <row r="5218" spans="2:7" ht="11.25" outlineLevel="7" x14ac:dyDescent="0.2">
      <c r="B5218" s="14" t="s">
        <v>9855</v>
      </c>
      <c r="C5218" s="14" t="s">
        <v>9856</v>
      </c>
      <c r="D5218" s="14">
        <v>1</v>
      </c>
      <c r="E5218" s="15">
        <v>502.38</v>
      </c>
      <c r="F5218" s="16" t="s">
        <v>8</v>
      </c>
      <c r="G5218" s="14"/>
    </row>
    <row r="5219" spans="2:7" ht="11.25" outlineLevel="7" x14ac:dyDescent="0.2">
      <c r="B5219" s="14" t="s">
        <v>9857</v>
      </c>
      <c r="C5219" s="14" t="s">
        <v>9858</v>
      </c>
      <c r="D5219" s="14">
        <v>1</v>
      </c>
      <c r="E5219" s="15">
        <v>617.76</v>
      </c>
      <c r="F5219" s="16" t="s">
        <v>8</v>
      </c>
      <c r="G5219" s="14"/>
    </row>
    <row r="5220" spans="2:7" ht="11.25" outlineLevel="7" x14ac:dyDescent="0.2">
      <c r="B5220" s="14" t="s">
        <v>9859</v>
      </c>
      <c r="C5220" s="14" t="s">
        <v>9860</v>
      </c>
      <c r="D5220" s="14">
        <v>1</v>
      </c>
      <c r="E5220" s="15">
        <v>648.70000000000005</v>
      </c>
      <c r="F5220" s="16" t="s">
        <v>8</v>
      </c>
      <c r="G5220" s="14"/>
    </row>
    <row r="5221" spans="2:7" ht="11.25" outlineLevel="7" x14ac:dyDescent="0.2">
      <c r="B5221" s="14" t="s">
        <v>9861</v>
      </c>
      <c r="C5221" s="14" t="s">
        <v>9862</v>
      </c>
      <c r="D5221" s="14">
        <v>1</v>
      </c>
      <c r="E5221" s="15">
        <v>755.8</v>
      </c>
      <c r="F5221" s="16" t="s">
        <v>8</v>
      </c>
      <c r="G5221" s="14"/>
    </row>
    <row r="5222" spans="2:7" ht="11.25" outlineLevel="7" x14ac:dyDescent="0.2">
      <c r="B5222" s="14" t="s">
        <v>9863</v>
      </c>
      <c r="C5222" s="14" t="s">
        <v>9864</v>
      </c>
      <c r="D5222" s="14">
        <v>1</v>
      </c>
      <c r="E5222" s="17">
        <v>1135.3699999999999</v>
      </c>
      <c r="F5222" s="16" t="s">
        <v>8</v>
      </c>
      <c r="G5222" s="14"/>
    </row>
    <row r="5223" spans="2:7" ht="11.25" outlineLevel="7" x14ac:dyDescent="0.2">
      <c r="B5223" s="14" t="s">
        <v>9865</v>
      </c>
      <c r="C5223" s="14" t="s">
        <v>9866</v>
      </c>
      <c r="D5223" s="14">
        <v>1</v>
      </c>
      <c r="E5223" s="15">
        <v>371.44</v>
      </c>
      <c r="F5223" s="16" t="s">
        <v>8</v>
      </c>
      <c r="G5223" s="14"/>
    </row>
    <row r="5224" spans="2:7" ht="12" outlineLevel="6" x14ac:dyDescent="0.2">
      <c r="B5224" s="18"/>
      <c r="C5224" s="39" t="s">
        <v>9867</v>
      </c>
      <c r="D5224" s="18"/>
      <c r="E5224" s="19"/>
      <c r="F5224" s="19"/>
      <c r="G5224" s="18"/>
    </row>
    <row r="5225" spans="2:7" ht="11.25" outlineLevel="7" x14ac:dyDescent="0.2">
      <c r="B5225" s="14" t="s">
        <v>9868</v>
      </c>
      <c r="C5225" s="14" t="s">
        <v>9869</v>
      </c>
      <c r="D5225" s="14">
        <v>1</v>
      </c>
      <c r="E5225" s="15">
        <v>422.26</v>
      </c>
      <c r="F5225" s="16" t="s">
        <v>8</v>
      </c>
      <c r="G5225" s="14"/>
    </row>
    <row r="5226" spans="2:7" ht="11.25" outlineLevel="7" x14ac:dyDescent="0.2">
      <c r="B5226" s="14" t="s">
        <v>9870</v>
      </c>
      <c r="C5226" s="14" t="s">
        <v>9871</v>
      </c>
      <c r="D5226" s="14">
        <v>1</v>
      </c>
      <c r="E5226" s="15">
        <v>496.55</v>
      </c>
      <c r="F5226" s="16" t="s">
        <v>8</v>
      </c>
      <c r="G5226" s="14"/>
    </row>
    <row r="5227" spans="2:7" ht="11.25" outlineLevel="7" x14ac:dyDescent="0.2">
      <c r="B5227" s="14" t="s">
        <v>9872</v>
      </c>
      <c r="C5227" s="14" t="s">
        <v>9873</v>
      </c>
      <c r="D5227" s="14">
        <v>1</v>
      </c>
      <c r="E5227" s="15">
        <v>567.24</v>
      </c>
      <c r="F5227" s="16" t="s">
        <v>8</v>
      </c>
      <c r="G5227" s="14"/>
    </row>
    <row r="5228" spans="2:7" ht="11.25" outlineLevel="7" x14ac:dyDescent="0.2">
      <c r="B5228" s="14" t="s">
        <v>9874</v>
      </c>
      <c r="C5228" s="14" t="s">
        <v>9875</v>
      </c>
      <c r="D5228" s="14">
        <v>1</v>
      </c>
      <c r="E5228" s="15">
        <v>698.87</v>
      </c>
      <c r="F5228" s="16" t="s">
        <v>8</v>
      </c>
      <c r="G5228" s="14"/>
    </row>
    <row r="5229" spans="2:7" ht="11.25" outlineLevel="7" x14ac:dyDescent="0.2">
      <c r="B5229" s="14" t="s">
        <v>9876</v>
      </c>
      <c r="C5229" s="14" t="s">
        <v>9877</v>
      </c>
      <c r="D5229" s="14">
        <v>1</v>
      </c>
      <c r="E5229" s="15">
        <v>723.98</v>
      </c>
      <c r="F5229" s="16" t="s">
        <v>8</v>
      </c>
      <c r="G5229" s="14"/>
    </row>
    <row r="5230" spans="2:7" ht="11.25" outlineLevel="7" x14ac:dyDescent="0.2">
      <c r="B5230" s="14" t="s">
        <v>9878</v>
      </c>
      <c r="C5230" s="14" t="s">
        <v>9879</v>
      </c>
      <c r="D5230" s="14">
        <v>1</v>
      </c>
      <c r="E5230" s="15">
        <v>842.8</v>
      </c>
      <c r="F5230" s="16" t="s">
        <v>8</v>
      </c>
      <c r="G5230" s="14"/>
    </row>
    <row r="5231" spans="2:7" ht="11.25" outlineLevel="7" x14ac:dyDescent="0.2">
      <c r="B5231" s="14" t="s">
        <v>9880</v>
      </c>
      <c r="C5231" s="14" t="s">
        <v>9881</v>
      </c>
      <c r="D5231" s="14">
        <v>1</v>
      </c>
      <c r="E5231" s="17">
        <v>1281.6600000000001</v>
      </c>
      <c r="F5231" s="16" t="s">
        <v>8</v>
      </c>
      <c r="G5231" s="14"/>
    </row>
    <row r="5232" spans="2:7" ht="12" outlineLevel="5" x14ac:dyDescent="0.2">
      <c r="B5232" s="18"/>
      <c r="C5232" s="39" t="s">
        <v>9882</v>
      </c>
      <c r="D5232" s="18"/>
      <c r="E5232" s="19"/>
      <c r="F5232" s="19"/>
      <c r="G5232" s="18"/>
    </row>
    <row r="5233" spans="2:7" ht="12" outlineLevel="6" x14ac:dyDescent="0.2">
      <c r="B5233" s="18"/>
      <c r="C5233" s="39" t="s">
        <v>9883</v>
      </c>
      <c r="D5233" s="18"/>
      <c r="E5233" s="19"/>
      <c r="F5233" s="19"/>
      <c r="G5233" s="18"/>
    </row>
    <row r="5234" spans="2:7" ht="11.25" outlineLevel="7" x14ac:dyDescent="0.2">
      <c r="B5234" s="14" t="s">
        <v>9884</v>
      </c>
      <c r="C5234" s="14" t="s">
        <v>9885</v>
      </c>
      <c r="D5234" s="14">
        <v>1</v>
      </c>
      <c r="E5234" s="15">
        <v>140.83000000000001</v>
      </c>
      <c r="F5234" s="16" t="s">
        <v>8</v>
      </c>
      <c r="G5234" s="14"/>
    </row>
    <row r="5235" spans="2:7" ht="11.25" outlineLevel="7" x14ac:dyDescent="0.2">
      <c r="B5235" s="14" t="s">
        <v>9886</v>
      </c>
      <c r="C5235" s="14" t="s">
        <v>9887</v>
      </c>
      <c r="D5235" s="14">
        <v>1</v>
      </c>
      <c r="E5235" s="15">
        <v>157.94</v>
      </c>
      <c r="F5235" s="16" t="s">
        <v>8</v>
      </c>
      <c r="G5235" s="14"/>
    </row>
    <row r="5236" spans="2:7" ht="11.25" outlineLevel="7" x14ac:dyDescent="0.2">
      <c r="B5236" s="14" t="s">
        <v>9888</v>
      </c>
      <c r="C5236" s="14" t="s">
        <v>9889</v>
      </c>
      <c r="D5236" s="14">
        <v>1</v>
      </c>
      <c r="E5236" s="15">
        <v>205.98</v>
      </c>
      <c r="F5236" s="16" t="s">
        <v>8</v>
      </c>
      <c r="G5236" s="14"/>
    </row>
    <row r="5237" spans="2:7" ht="11.25" outlineLevel="7" x14ac:dyDescent="0.2">
      <c r="B5237" s="14" t="s">
        <v>9890</v>
      </c>
      <c r="C5237" s="14" t="s">
        <v>9891</v>
      </c>
      <c r="D5237" s="14">
        <v>1</v>
      </c>
      <c r="E5237" s="15">
        <v>273.85000000000002</v>
      </c>
      <c r="F5237" s="16" t="s">
        <v>8</v>
      </c>
      <c r="G5237" s="14"/>
    </row>
    <row r="5238" spans="2:7" ht="11.25" outlineLevel="7" x14ac:dyDescent="0.2">
      <c r="B5238" s="14" t="s">
        <v>9892</v>
      </c>
      <c r="C5238" s="14" t="s">
        <v>9893</v>
      </c>
      <c r="D5238" s="14">
        <v>1</v>
      </c>
      <c r="E5238" s="15">
        <v>115.07</v>
      </c>
      <c r="F5238" s="16" t="s">
        <v>8</v>
      </c>
      <c r="G5238" s="14"/>
    </row>
    <row r="5239" spans="2:7" ht="11.25" outlineLevel="7" x14ac:dyDescent="0.2">
      <c r="B5239" s="14" t="s">
        <v>9894</v>
      </c>
      <c r="C5239" s="14" t="s">
        <v>9895</v>
      </c>
      <c r="D5239" s="14">
        <v>1</v>
      </c>
      <c r="E5239" s="15">
        <v>132.02000000000001</v>
      </c>
      <c r="F5239" s="16" t="s">
        <v>8</v>
      </c>
      <c r="G5239" s="14"/>
    </row>
    <row r="5240" spans="2:7" ht="12" outlineLevel="6" x14ac:dyDescent="0.2">
      <c r="B5240" s="18"/>
      <c r="C5240" s="39" t="s">
        <v>9896</v>
      </c>
      <c r="D5240" s="18"/>
      <c r="E5240" s="19"/>
      <c r="F5240" s="19"/>
      <c r="G5240" s="18"/>
    </row>
    <row r="5241" spans="2:7" ht="11.25" outlineLevel="7" x14ac:dyDescent="0.2">
      <c r="B5241" s="14" t="s">
        <v>9897</v>
      </c>
      <c r="C5241" s="14" t="s">
        <v>9898</v>
      </c>
      <c r="D5241" s="14">
        <v>1</v>
      </c>
      <c r="E5241" s="15">
        <v>215.62</v>
      </c>
      <c r="F5241" s="16" t="s">
        <v>8</v>
      </c>
      <c r="G5241" s="38" t="str">
        <f>HYPERLINK("http://enext.ua/2323230")</f>
        <v>http://enext.ua/2323230</v>
      </c>
    </row>
    <row r="5242" spans="2:7" ht="11.25" outlineLevel="7" x14ac:dyDescent="0.2">
      <c r="B5242" s="14" t="s">
        <v>9899</v>
      </c>
      <c r="C5242" s="14" t="s">
        <v>9900</v>
      </c>
      <c r="D5242" s="14">
        <v>1</v>
      </c>
      <c r="E5242" s="15">
        <v>251.72</v>
      </c>
      <c r="F5242" s="16" t="s">
        <v>8</v>
      </c>
      <c r="G5242" s="38" t="str">
        <f>HYPERLINK("http://enext.ua/2324230")</f>
        <v>http://enext.ua/2324230</v>
      </c>
    </row>
    <row r="5243" spans="2:7" ht="11.25" outlineLevel="7" x14ac:dyDescent="0.2">
      <c r="B5243" s="14" t="s">
        <v>9901</v>
      </c>
      <c r="C5243" s="14" t="s">
        <v>8311</v>
      </c>
      <c r="D5243" s="14">
        <v>1</v>
      </c>
      <c r="E5243" s="15">
        <v>286.44</v>
      </c>
      <c r="F5243" s="16" t="s">
        <v>8</v>
      </c>
      <c r="G5243" s="38" t="str">
        <f>HYPERLINK("http://enext.ua/2325230")</f>
        <v>http://enext.ua/2325230</v>
      </c>
    </row>
    <row r="5244" spans="2:7" ht="11.25" outlineLevel="7" x14ac:dyDescent="0.2">
      <c r="B5244" s="14" t="s">
        <v>9902</v>
      </c>
      <c r="C5244" s="14" t="s">
        <v>8313</v>
      </c>
      <c r="D5244" s="14">
        <v>1</v>
      </c>
      <c r="E5244" s="15">
        <v>405.04</v>
      </c>
      <c r="F5244" s="16" t="s">
        <v>8</v>
      </c>
      <c r="G5244" s="38" t="str">
        <f>HYPERLINK("http://enext.ua/2326230")</f>
        <v>http://enext.ua/2326230</v>
      </c>
    </row>
    <row r="5245" spans="2:7" ht="11.25" outlineLevel="7" x14ac:dyDescent="0.2">
      <c r="B5245" s="14" t="s">
        <v>9903</v>
      </c>
      <c r="C5245" s="14" t="s">
        <v>8315</v>
      </c>
      <c r="D5245" s="14">
        <v>1</v>
      </c>
      <c r="E5245" s="15">
        <v>539.20000000000005</v>
      </c>
      <c r="F5245" s="16" t="s">
        <v>8</v>
      </c>
      <c r="G5245" s="38" t="str">
        <f>HYPERLINK("http://enext.ua/2327230")</f>
        <v>http://enext.ua/2327230</v>
      </c>
    </row>
    <row r="5246" spans="2:7" ht="11.25" outlineLevel="7" x14ac:dyDescent="0.2">
      <c r="B5246" s="14" t="s">
        <v>9904</v>
      </c>
      <c r="C5246" s="14" t="s">
        <v>9905</v>
      </c>
      <c r="D5246" s="14">
        <v>1</v>
      </c>
      <c r="E5246" s="15">
        <v>604.25</v>
      </c>
      <c r="F5246" s="16" t="s">
        <v>8</v>
      </c>
      <c r="G5246" s="14"/>
    </row>
    <row r="5247" spans="2:7" ht="11.25" outlineLevel="7" x14ac:dyDescent="0.2">
      <c r="B5247" s="14" t="s">
        <v>9906</v>
      </c>
      <c r="C5247" s="14" t="s">
        <v>9907</v>
      </c>
      <c r="D5247" s="14">
        <v>1</v>
      </c>
      <c r="E5247" s="15">
        <v>149.88</v>
      </c>
      <c r="F5247" s="16" t="s">
        <v>8</v>
      </c>
      <c r="G5247" s="38" t="str">
        <f>HYPERLINK("http://enext.ua/2321230")</f>
        <v>http://enext.ua/2321230</v>
      </c>
    </row>
    <row r="5248" spans="2:7" ht="11.25" outlineLevel="7" x14ac:dyDescent="0.2">
      <c r="B5248" s="14" t="s">
        <v>9908</v>
      </c>
      <c r="C5248" s="14" t="s">
        <v>9909</v>
      </c>
      <c r="D5248" s="14">
        <v>1</v>
      </c>
      <c r="E5248" s="15">
        <v>739.69</v>
      </c>
      <c r="F5248" s="16" t="s">
        <v>8</v>
      </c>
      <c r="G5248" s="14"/>
    </row>
    <row r="5249" spans="2:7" ht="12" outlineLevel="6" x14ac:dyDescent="0.2">
      <c r="B5249" s="18"/>
      <c r="C5249" s="39" t="s">
        <v>9910</v>
      </c>
      <c r="D5249" s="18"/>
      <c r="E5249" s="19"/>
      <c r="F5249" s="19"/>
      <c r="G5249" s="18"/>
    </row>
    <row r="5250" spans="2:7" ht="11.25" outlineLevel="7" x14ac:dyDescent="0.2">
      <c r="B5250" s="14" t="s">
        <v>9911</v>
      </c>
      <c r="C5250" s="14" t="s">
        <v>9912</v>
      </c>
      <c r="D5250" s="14">
        <v>1</v>
      </c>
      <c r="E5250" s="15">
        <v>248.08</v>
      </c>
      <c r="F5250" s="16" t="s">
        <v>8</v>
      </c>
      <c r="G5250" s="38" t="str">
        <f>HYPERLINK("http://enext.ua/2323330")</f>
        <v>http://enext.ua/2323330</v>
      </c>
    </row>
    <row r="5251" spans="2:7" ht="11.25" outlineLevel="7" x14ac:dyDescent="0.2">
      <c r="B5251" s="14" t="s">
        <v>9913</v>
      </c>
      <c r="C5251" s="14" t="s">
        <v>9914</v>
      </c>
      <c r="D5251" s="14">
        <v>1</v>
      </c>
      <c r="E5251" s="15">
        <v>291.36</v>
      </c>
      <c r="F5251" s="16" t="s">
        <v>8</v>
      </c>
      <c r="G5251" s="14"/>
    </row>
    <row r="5252" spans="2:7" ht="11.25" outlineLevel="7" x14ac:dyDescent="0.2">
      <c r="B5252" s="14" t="s">
        <v>9915</v>
      </c>
      <c r="C5252" s="14" t="s">
        <v>9916</v>
      </c>
      <c r="D5252" s="14">
        <v>1</v>
      </c>
      <c r="E5252" s="15">
        <v>314.16000000000003</v>
      </c>
      <c r="F5252" s="16" t="s">
        <v>8</v>
      </c>
      <c r="G5252" s="14"/>
    </row>
    <row r="5253" spans="2:7" ht="11.25" outlineLevel="7" x14ac:dyDescent="0.2">
      <c r="B5253" s="14" t="s">
        <v>9917</v>
      </c>
      <c r="C5253" s="14" t="s">
        <v>9918</v>
      </c>
      <c r="D5253" s="14">
        <v>1</v>
      </c>
      <c r="E5253" s="15">
        <v>445.03</v>
      </c>
      <c r="F5253" s="16" t="s">
        <v>8</v>
      </c>
      <c r="G5253" s="38" t="str">
        <f>HYPERLINK("http://enext.ua/2326330")</f>
        <v>http://enext.ua/2326330</v>
      </c>
    </row>
    <row r="5254" spans="2:7" ht="11.25" outlineLevel="7" x14ac:dyDescent="0.2">
      <c r="B5254" s="14" t="s">
        <v>9919</v>
      </c>
      <c r="C5254" s="14" t="s">
        <v>9920</v>
      </c>
      <c r="D5254" s="14">
        <v>1</v>
      </c>
      <c r="E5254" s="15">
        <v>581.03</v>
      </c>
      <c r="F5254" s="16" t="s">
        <v>8</v>
      </c>
      <c r="G5254" s="14"/>
    </row>
    <row r="5255" spans="2:7" ht="11.25" outlineLevel="7" x14ac:dyDescent="0.2">
      <c r="B5255" s="14" t="s">
        <v>9921</v>
      </c>
      <c r="C5255" s="14" t="s">
        <v>9922</v>
      </c>
      <c r="D5255" s="14">
        <v>1</v>
      </c>
      <c r="E5255" s="15">
        <v>620.83000000000004</v>
      </c>
      <c r="F5255" s="16" t="s">
        <v>8</v>
      </c>
      <c r="G5255" s="14"/>
    </row>
    <row r="5256" spans="2:7" ht="11.25" outlineLevel="7" x14ac:dyDescent="0.2">
      <c r="B5256" s="14" t="s">
        <v>9923</v>
      </c>
      <c r="C5256" s="14" t="s">
        <v>9924</v>
      </c>
      <c r="D5256" s="14">
        <v>1</v>
      </c>
      <c r="E5256" s="15">
        <v>787.91</v>
      </c>
      <c r="F5256" s="16" t="s">
        <v>8</v>
      </c>
      <c r="G5256" s="14"/>
    </row>
    <row r="5257" spans="2:7" ht="11.25" outlineLevel="7" x14ac:dyDescent="0.2">
      <c r="B5257" s="14" t="s">
        <v>9925</v>
      </c>
      <c r="C5257" s="14" t="s">
        <v>9926</v>
      </c>
      <c r="D5257" s="14">
        <v>1</v>
      </c>
      <c r="E5257" s="15">
        <v>218.51</v>
      </c>
      <c r="F5257" s="16" t="s">
        <v>8</v>
      </c>
      <c r="G5257" s="14"/>
    </row>
    <row r="5258" spans="2:7" ht="12" outlineLevel="6" x14ac:dyDescent="0.2">
      <c r="B5258" s="18"/>
      <c r="C5258" s="39" t="s">
        <v>9927</v>
      </c>
      <c r="D5258" s="18"/>
      <c r="E5258" s="19"/>
      <c r="F5258" s="19"/>
      <c r="G5258" s="18"/>
    </row>
    <row r="5259" spans="2:7" ht="11.25" outlineLevel="7" x14ac:dyDescent="0.2">
      <c r="B5259" s="14" t="s">
        <v>9928</v>
      </c>
      <c r="C5259" s="14" t="s">
        <v>9929</v>
      </c>
      <c r="D5259" s="14">
        <v>1</v>
      </c>
      <c r="E5259" s="15">
        <v>273.73</v>
      </c>
      <c r="F5259" s="16" t="s">
        <v>8</v>
      </c>
      <c r="G5259" s="38" t="str">
        <f>HYPERLINK("http://enext.ua/2323430")</f>
        <v>http://enext.ua/2323430</v>
      </c>
    </row>
    <row r="5260" spans="2:7" ht="11.25" outlineLevel="7" x14ac:dyDescent="0.2">
      <c r="B5260" s="14" t="s">
        <v>9930</v>
      </c>
      <c r="C5260" s="14" t="s">
        <v>9931</v>
      </c>
      <c r="D5260" s="14">
        <v>1</v>
      </c>
      <c r="E5260" s="15">
        <v>321.41000000000003</v>
      </c>
      <c r="F5260" s="16" t="s">
        <v>8</v>
      </c>
      <c r="G5260" s="38" t="str">
        <f>HYPERLINK("http://enext.ua/2324430")</f>
        <v>http://enext.ua/2324430</v>
      </c>
    </row>
    <row r="5261" spans="2:7" ht="11.25" outlineLevel="7" x14ac:dyDescent="0.2">
      <c r="B5261" s="14" t="s">
        <v>9932</v>
      </c>
      <c r="C5261" s="14" t="s">
        <v>9933</v>
      </c>
      <c r="D5261" s="14">
        <v>1</v>
      </c>
      <c r="E5261" s="15">
        <v>326.64</v>
      </c>
      <c r="F5261" s="16" t="s">
        <v>8</v>
      </c>
      <c r="G5261" s="38" t="str">
        <f>HYPERLINK("http://enext.ua/2325430")</f>
        <v>http://enext.ua/2325430</v>
      </c>
    </row>
    <row r="5262" spans="2:7" ht="11.25" outlineLevel="7" x14ac:dyDescent="0.2">
      <c r="B5262" s="14" t="s">
        <v>9934</v>
      </c>
      <c r="C5262" s="14" t="s">
        <v>9935</v>
      </c>
      <c r="D5262" s="14">
        <v>1</v>
      </c>
      <c r="E5262" s="15">
        <v>449.58</v>
      </c>
      <c r="F5262" s="16" t="s">
        <v>8</v>
      </c>
      <c r="G5262" s="14"/>
    </row>
    <row r="5263" spans="2:7" ht="11.25" outlineLevel="7" x14ac:dyDescent="0.2">
      <c r="B5263" s="14" t="s">
        <v>9936</v>
      </c>
      <c r="C5263" s="14" t="s">
        <v>9937</v>
      </c>
      <c r="D5263" s="14">
        <v>1</v>
      </c>
      <c r="E5263" s="15">
        <v>605.12</v>
      </c>
      <c r="F5263" s="16" t="s">
        <v>8</v>
      </c>
      <c r="G5263" s="14"/>
    </row>
    <row r="5264" spans="2:7" ht="11.25" outlineLevel="7" x14ac:dyDescent="0.2">
      <c r="B5264" s="14" t="s">
        <v>9938</v>
      </c>
      <c r="C5264" s="14" t="s">
        <v>9939</v>
      </c>
      <c r="D5264" s="14">
        <v>1</v>
      </c>
      <c r="E5264" s="15">
        <v>671.05</v>
      </c>
      <c r="F5264" s="16" t="s">
        <v>8</v>
      </c>
      <c r="G5264" s="14"/>
    </row>
    <row r="5265" spans="2:7" ht="11.25" outlineLevel="7" x14ac:dyDescent="0.2">
      <c r="B5265" s="14" t="s">
        <v>9940</v>
      </c>
      <c r="C5265" s="14" t="s">
        <v>9941</v>
      </c>
      <c r="D5265" s="14">
        <v>1</v>
      </c>
      <c r="E5265" s="15">
        <v>820.92</v>
      </c>
      <c r="F5265" s="16" t="s">
        <v>8</v>
      </c>
      <c r="G5265" s="14"/>
    </row>
    <row r="5266" spans="2:7" ht="12" outlineLevel="6" x14ac:dyDescent="0.2">
      <c r="B5266" s="18"/>
      <c r="C5266" s="39" t="s">
        <v>9942</v>
      </c>
      <c r="D5266" s="18"/>
      <c r="E5266" s="19"/>
      <c r="F5266" s="19"/>
      <c r="G5266" s="18"/>
    </row>
    <row r="5267" spans="2:7" ht="11.25" outlineLevel="7" x14ac:dyDescent="0.2">
      <c r="B5267" s="14" t="s">
        <v>9943</v>
      </c>
      <c r="C5267" s="14" t="s">
        <v>9944</v>
      </c>
      <c r="D5267" s="14">
        <v>1</v>
      </c>
      <c r="E5267" s="15">
        <v>90.64</v>
      </c>
      <c r="F5267" s="16" t="s">
        <v>8</v>
      </c>
      <c r="G5267" s="38" t="str">
        <f>HYPERLINK("http://enext.ua/2323031")</f>
        <v>http://enext.ua/2323031</v>
      </c>
    </row>
    <row r="5268" spans="2:7" ht="11.25" outlineLevel="7" x14ac:dyDescent="0.2">
      <c r="B5268" s="14" t="s">
        <v>9945</v>
      </c>
      <c r="C5268" s="14" t="s">
        <v>9946</v>
      </c>
      <c r="D5268" s="14">
        <v>1</v>
      </c>
      <c r="E5268" s="15">
        <v>117.84</v>
      </c>
      <c r="F5268" s="16" t="s">
        <v>8</v>
      </c>
      <c r="G5268" s="38" t="str">
        <f>HYPERLINK("http://enext.ua/2324031")</f>
        <v>http://enext.ua/2324031</v>
      </c>
    </row>
    <row r="5269" spans="2:7" ht="11.25" outlineLevel="7" x14ac:dyDescent="0.2">
      <c r="B5269" s="14" t="s">
        <v>9947</v>
      </c>
      <c r="C5269" s="14" t="s">
        <v>9948</v>
      </c>
      <c r="D5269" s="14">
        <v>1</v>
      </c>
      <c r="E5269" s="15">
        <v>132.88999999999999</v>
      </c>
      <c r="F5269" s="16" t="s">
        <v>8</v>
      </c>
      <c r="G5269" s="38" t="str">
        <f>HYPERLINK("http://enext.ua/2325031")</f>
        <v>http://enext.ua/2325031</v>
      </c>
    </row>
    <row r="5270" spans="2:7" ht="11.25" outlineLevel="7" x14ac:dyDescent="0.2">
      <c r="B5270" s="14" t="s">
        <v>9949</v>
      </c>
      <c r="C5270" s="14" t="s">
        <v>9950</v>
      </c>
      <c r="D5270" s="14">
        <v>1</v>
      </c>
      <c r="E5270" s="15">
        <v>208.72</v>
      </c>
      <c r="F5270" s="16" t="s">
        <v>8</v>
      </c>
      <c r="G5270" s="38" t="str">
        <f>HYPERLINK("http://enext.ua/2326031")</f>
        <v>http://enext.ua/2326031</v>
      </c>
    </row>
    <row r="5271" spans="2:7" ht="11.25" outlineLevel="7" x14ac:dyDescent="0.2">
      <c r="B5271" s="14" t="s">
        <v>9951</v>
      </c>
      <c r="C5271" s="14" t="s">
        <v>9952</v>
      </c>
      <c r="D5271" s="14">
        <v>1</v>
      </c>
      <c r="E5271" s="15">
        <v>296.5</v>
      </c>
      <c r="F5271" s="16" t="s">
        <v>8</v>
      </c>
      <c r="G5271" s="14"/>
    </row>
    <row r="5272" spans="2:7" ht="11.25" outlineLevel="7" x14ac:dyDescent="0.2">
      <c r="B5272" s="14" t="s">
        <v>9953</v>
      </c>
      <c r="C5272" s="14" t="s">
        <v>9954</v>
      </c>
      <c r="D5272" s="14">
        <v>1</v>
      </c>
      <c r="E5272" s="15">
        <v>74.650000000000006</v>
      </c>
      <c r="F5272" s="16" t="s">
        <v>8</v>
      </c>
      <c r="G5272" s="38" t="str">
        <f>HYPERLINK("http://enext.ua/2321031")</f>
        <v>http://enext.ua/2321031</v>
      </c>
    </row>
    <row r="5273" spans="2:7" ht="11.25" outlineLevel="7" x14ac:dyDescent="0.2">
      <c r="B5273" s="14" t="s">
        <v>9955</v>
      </c>
      <c r="C5273" s="14" t="s">
        <v>9956</v>
      </c>
      <c r="D5273" s="14">
        <v>1</v>
      </c>
      <c r="E5273" s="15">
        <v>378.05</v>
      </c>
      <c r="F5273" s="16" t="s">
        <v>8</v>
      </c>
      <c r="G5273" s="14"/>
    </row>
    <row r="5274" spans="2:7" ht="11.25" outlineLevel="7" x14ac:dyDescent="0.2">
      <c r="B5274" s="14" t="s">
        <v>9957</v>
      </c>
      <c r="C5274" s="14" t="s">
        <v>9958</v>
      </c>
      <c r="D5274" s="14">
        <v>1</v>
      </c>
      <c r="E5274" s="15">
        <v>554.76</v>
      </c>
      <c r="F5274" s="16" t="s">
        <v>8</v>
      </c>
      <c r="G5274" s="14"/>
    </row>
    <row r="5275" spans="2:7" ht="11.25" outlineLevel="7" x14ac:dyDescent="0.2">
      <c r="B5275" s="14" t="s">
        <v>9959</v>
      </c>
      <c r="C5275" s="14" t="s">
        <v>9960</v>
      </c>
      <c r="D5275" s="14">
        <v>1</v>
      </c>
      <c r="E5275" s="15">
        <v>85.19</v>
      </c>
      <c r="F5275" s="16" t="s">
        <v>8</v>
      </c>
      <c r="G5275" s="14"/>
    </row>
    <row r="5276" spans="2:7" ht="12" outlineLevel="5" x14ac:dyDescent="0.2">
      <c r="B5276" s="18"/>
      <c r="C5276" s="39" t="s">
        <v>9961</v>
      </c>
      <c r="D5276" s="18"/>
      <c r="E5276" s="19"/>
      <c r="F5276" s="19"/>
      <c r="G5276" s="18"/>
    </row>
    <row r="5277" spans="2:7" ht="12" outlineLevel="6" x14ac:dyDescent="0.2">
      <c r="B5277" s="18"/>
      <c r="C5277" s="39" t="s">
        <v>9962</v>
      </c>
      <c r="D5277" s="18"/>
      <c r="E5277" s="19"/>
      <c r="F5277" s="19"/>
      <c r="G5277" s="18"/>
    </row>
    <row r="5278" spans="2:7" ht="11.25" outlineLevel="7" x14ac:dyDescent="0.2">
      <c r="B5278" s="14" t="s">
        <v>9963</v>
      </c>
      <c r="C5278" s="14" t="s">
        <v>9964</v>
      </c>
      <c r="D5278" s="14">
        <v>1</v>
      </c>
      <c r="E5278" s="15">
        <v>126.13</v>
      </c>
      <c r="F5278" s="16" t="s">
        <v>8</v>
      </c>
      <c r="G5278" s="14"/>
    </row>
    <row r="5279" spans="2:7" ht="11.25" outlineLevel="7" x14ac:dyDescent="0.2">
      <c r="B5279" s="14" t="s">
        <v>9965</v>
      </c>
      <c r="C5279" s="14" t="s">
        <v>9966</v>
      </c>
      <c r="D5279" s="14">
        <v>1</v>
      </c>
      <c r="E5279" s="15">
        <v>142.91</v>
      </c>
      <c r="F5279" s="16" t="s">
        <v>8</v>
      </c>
      <c r="G5279" s="14"/>
    </row>
    <row r="5280" spans="2:7" ht="11.25" outlineLevel="7" x14ac:dyDescent="0.2">
      <c r="B5280" s="14" t="s">
        <v>9967</v>
      </c>
      <c r="C5280" s="14" t="s">
        <v>9968</v>
      </c>
      <c r="D5280" s="14">
        <v>1</v>
      </c>
      <c r="E5280" s="15">
        <v>186.16</v>
      </c>
      <c r="F5280" s="16" t="s">
        <v>8</v>
      </c>
      <c r="G5280" s="14"/>
    </row>
    <row r="5281" spans="2:7" ht="11.25" outlineLevel="7" x14ac:dyDescent="0.2">
      <c r="B5281" s="14" t="s">
        <v>9969</v>
      </c>
      <c r="C5281" s="14" t="s">
        <v>9970</v>
      </c>
      <c r="D5281" s="14">
        <v>1</v>
      </c>
      <c r="E5281" s="15">
        <v>247.09</v>
      </c>
      <c r="F5281" s="16" t="s">
        <v>8</v>
      </c>
      <c r="G5281" s="14"/>
    </row>
    <row r="5282" spans="2:7" ht="11.25" outlineLevel="7" x14ac:dyDescent="0.2">
      <c r="B5282" s="14" t="s">
        <v>9971</v>
      </c>
      <c r="C5282" s="14" t="s">
        <v>9972</v>
      </c>
      <c r="D5282" s="14">
        <v>1</v>
      </c>
      <c r="E5282" s="15">
        <v>107.54</v>
      </c>
      <c r="F5282" s="16" t="s">
        <v>8</v>
      </c>
      <c r="G5282" s="14"/>
    </row>
    <row r="5283" spans="2:7" ht="11.25" outlineLevel="7" x14ac:dyDescent="0.2">
      <c r="B5283" s="14" t="s">
        <v>9973</v>
      </c>
      <c r="C5283" s="14" t="s">
        <v>9974</v>
      </c>
      <c r="D5283" s="14">
        <v>1</v>
      </c>
      <c r="E5283" s="15">
        <v>119.17</v>
      </c>
      <c r="F5283" s="16" t="s">
        <v>8</v>
      </c>
      <c r="G5283" s="14"/>
    </row>
    <row r="5284" spans="2:7" ht="12" outlineLevel="6" x14ac:dyDescent="0.2">
      <c r="B5284" s="18"/>
      <c r="C5284" s="39" t="s">
        <v>9975</v>
      </c>
      <c r="D5284" s="18"/>
      <c r="E5284" s="19"/>
      <c r="F5284" s="19"/>
      <c r="G5284" s="18"/>
    </row>
    <row r="5285" spans="2:7" ht="11.25" outlineLevel="7" x14ac:dyDescent="0.2">
      <c r="B5285" s="14" t="s">
        <v>9976</v>
      </c>
      <c r="C5285" s="14" t="s">
        <v>8319</v>
      </c>
      <c r="D5285" s="14">
        <v>1</v>
      </c>
      <c r="E5285" s="15">
        <v>196.5</v>
      </c>
      <c r="F5285" s="16" t="s">
        <v>8</v>
      </c>
      <c r="G5285" s="38" t="str">
        <f>HYPERLINK("http://enext.ua/2343230")</f>
        <v>http://enext.ua/2343230</v>
      </c>
    </row>
    <row r="5286" spans="2:7" ht="11.25" outlineLevel="7" x14ac:dyDescent="0.2">
      <c r="B5286" s="14" t="s">
        <v>9977</v>
      </c>
      <c r="C5286" s="14" t="s">
        <v>9978</v>
      </c>
      <c r="D5286" s="14">
        <v>1</v>
      </c>
      <c r="E5286" s="15">
        <v>230.47</v>
      </c>
      <c r="F5286" s="16" t="s">
        <v>8</v>
      </c>
      <c r="G5286" s="38" t="str">
        <f>HYPERLINK("http://enext.ua/2344230")</f>
        <v>http://enext.ua/2344230</v>
      </c>
    </row>
    <row r="5287" spans="2:7" ht="11.25" outlineLevel="7" x14ac:dyDescent="0.2">
      <c r="B5287" s="14" t="s">
        <v>9979</v>
      </c>
      <c r="C5287" s="14" t="s">
        <v>8323</v>
      </c>
      <c r="D5287" s="14">
        <v>1</v>
      </c>
      <c r="E5287" s="15">
        <v>247.56</v>
      </c>
      <c r="F5287" s="16" t="s">
        <v>8</v>
      </c>
      <c r="G5287" s="38" t="str">
        <f>HYPERLINK("http://enext.ua/2345230")</f>
        <v>http://enext.ua/2345230</v>
      </c>
    </row>
    <row r="5288" spans="2:7" ht="11.25" outlineLevel="7" x14ac:dyDescent="0.2">
      <c r="B5288" s="14" t="s">
        <v>9980</v>
      </c>
      <c r="C5288" s="14" t="s">
        <v>8325</v>
      </c>
      <c r="D5288" s="14">
        <v>1</v>
      </c>
      <c r="E5288" s="15">
        <v>352.06</v>
      </c>
      <c r="F5288" s="16" t="s">
        <v>8</v>
      </c>
      <c r="G5288" s="38" t="str">
        <f>HYPERLINK("http://enext.ua/2346230")</f>
        <v>http://enext.ua/2346230</v>
      </c>
    </row>
    <row r="5289" spans="2:7" ht="11.25" outlineLevel="7" x14ac:dyDescent="0.2">
      <c r="B5289" s="14" t="s">
        <v>9981</v>
      </c>
      <c r="C5289" s="14" t="s">
        <v>8327</v>
      </c>
      <c r="D5289" s="14">
        <v>1</v>
      </c>
      <c r="E5289" s="15">
        <v>432.02</v>
      </c>
      <c r="F5289" s="16" t="s">
        <v>8</v>
      </c>
      <c r="G5289" s="14"/>
    </row>
    <row r="5290" spans="2:7" ht="11.25" outlineLevel="7" x14ac:dyDescent="0.2">
      <c r="B5290" s="14" t="s">
        <v>9982</v>
      </c>
      <c r="C5290" s="14" t="s">
        <v>9983</v>
      </c>
      <c r="D5290" s="14">
        <v>1</v>
      </c>
      <c r="E5290" s="15">
        <v>472.8</v>
      </c>
      <c r="F5290" s="16" t="s">
        <v>8</v>
      </c>
      <c r="G5290" s="14"/>
    </row>
    <row r="5291" spans="2:7" ht="11.25" outlineLevel="7" x14ac:dyDescent="0.2">
      <c r="B5291" s="14" t="s">
        <v>9984</v>
      </c>
      <c r="C5291" s="14" t="s">
        <v>8317</v>
      </c>
      <c r="D5291" s="14">
        <v>1</v>
      </c>
      <c r="E5291" s="15">
        <v>138.36000000000001</v>
      </c>
      <c r="F5291" s="16" t="s">
        <v>8</v>
      </c>
      <c r="G5291" s="38" t="str">
        <f>HYPERLINK("http://enext.ua/2341230")</f>
        <v>http://enext.ua/2341230</v>
      </c>
    </row>
    <row r="5292" spans="2:7" ht="11.25" outlineLevel="7" x14ac:dyDescent="0.2">
      <c r="B5292" s="14" t="s">
        <v>9985</v>
      </c>
      <c r="C5292" s="14" t="s">
        <v>9986</v>
      </c>
      <c r="D5292" s="14">
        <v>1</v>
      </c>
      <c r="E5292" s="15">
        <v>583.61</v>
      </c>
      <c r="F5292" s="16" t="s">
        <v>8</v>
      </c>
      <c r="G5292" s="14"/>
    </row>
    <row r="5293" spans="2:7" ht="12" outlineLevel="6" x14ac:dyDescent="0.2">
      <c r="B5293" s="18"/>
      <c r="C5293" s="39" t="s">
        <v>9987</v>
      </c>
      <c r="D5293" s="18"/>
      <c r="E5293" s="19"/>
      <c r="F5293" s="19"/>
      <c r="G5293" s="18"/>
    </row>
    <row r="5294" spans="2:7" ht="11.25" outlineLevel="7" x14ac:dyDescent="0.2">
      <c r="B5294" s="14" t="s">
        <v>9988</v>
      </c>
      <c r="C5294" s="14" t="s">
        <v>8398</v>
      </c>
      <c r="D5294" s="14">
        <v>1</v>
      </c>
      <c r="E5294" s="15">
        <v>208.06</v>
      </c>
      <c r="F5294" s="16" t="s">
        <v>8</v>
      </c>
      <c r="G5294" s="14"/>
    </row>
    <row r="5295" spans="2:7" ht="11.25" outlineLevel="7" x14ac:dyDescent="0.2">
      <c r="B5295" s="14" t="s">
        <v>9989</v>
      </c>
      <c r="C5295" s="14" t="s">
        <v>9990</v>
      </c>
      <c r="D5295" s="14">
        <v>1</v>
      </c>
      <c r="E5295" s="15">
        <v>242.08</v>
      </c>
      <c r="F5295" s="16" t="s">
        <v>8</v>
      </c>
      <c r="G5295" s="14"/>
    </row>
    <row r="5296" spans="2:7" ht="11.25" outlineLevel="7" x14ac:dyDescent="0.2">
      <c r="B5296" s="14" t="s">
        <v>9991</v>
      </c>
      <c r="C5296" s="14" t="s">
        <v>8402</v>
      </c>
      <c r="D5296" s="14">
        <v>1</v>
      </c>
      <c r="E5296" s="15">
        <v>252.41</v>
      </c>
      <c r="F5296" s="16" t="s">
        <v>8</v>
      </c>
      <c r="G5296" s="14"/>
    </row>
    <row r="5297" spans="2:7" ht="11.25" outlineLevel="7" x14ac:dyDescent="0.2">
      <c r="B5297" s="14" t="s">
        <v>9992</v>
      </c>
      <c r="C5297" s="14" t="s">
        <v>8404</v>
      </c>
      <c r="D5297" s="14">
        <v>1</v>
      </c>
      <c r="E5297" s="15">
        <v>363.41</v>
      </c>
      <c r="F5297" s="16" t="s">
        <v>8</v>
      </c>
      <c r="G5297" s="38" t="str">
        <f>HYPERLINK("http://enext.ua/2346330")</f>
        <v>http://enext.ua/2346330</v>
      </c>
    </row>
    <row r="5298" spans="2:7" ht="11.25" outlineLevel="7" x14ac:dyDescent="0.2">
      <c r="B5298" s="14" t="s">
        <v>9993</v>
      </c>
      <c r="C5298" s="14" t="s">
        <v>9994</v>
      </c>
      <c r="D5298" s="14">
        <v>1</v>
      </c>
      <c r="E5298" s="15">
        <v>441.3</v>
      </c>
      <c r="F5298" s="16" t="s">
        <v>8</v>
      </c>
      <c r="G5298" s="14"/>
    </row>
    <row r="5299" spans="2:7" ht="11.25" outlineLevel="7" x14ac:dyDescent="0.2">
      <c r="B5299" s="14" t="s">
        <v>9995</v>
      </c>
      <c r="C5299" s="14" t="s">
        <v>9996</v>
      </c>
      <c r="D5299" s="14">
        <v>1</v>
      </c>
      <c r="E5299" s="15">
        <v>510.72</v>
      </c>
      <c r="F5299" s="16" t="s">
        <v>8</v>
      </c>
      <c r="G5299" s="14"/>
    </row>
    <row r="5300" spans="2:7" ht="11.25" outlineLevel="7" x14ac:dyDescent="0.2">
      <c r="B5300" s="14" t="s">
        <v>9997</v>
      </c>
      <c r="C5300" s="14" t="s">
        <v>9998</v>
      </c>
      <c r="D5300" s="14">
        <v>1</v>
      </c>
      <c r="E5300" s="15">
        <v>595.66</v>
      </c>
      <c r="F5300" s="16" t="s">
        <v>8</v>
      </c>
      <c r="G5300" s="14"/>
    </row>
    <row r="5301" spans="2:7" ht="11.25" outlineLevel="7" x14ac:dyDescent="0.2">
      <c r="B5301" s="14" t="s">
        <v>9999</v>
      </c>
      <c r="C5301" s="14" t="s">
        <v>10000</v>
      </c>
      <c r="D5301" s="14">
        <v>1</v>
      </c>
      <c r="E5301" s="15">
        <v>200.86</v>
      </c>
      <c r="F5301" s="16" t="s">
        <v>8</v>
      </c>
      <c r="G5301" s="14"/>
    </row>
    <row r="5302" spans="2:7" ht="12" outlineLevel="6" x14ac:dyDescent="0.2">
      <c r="B5302" s="18"/>
      <c r="C5302" s="39" t="s">
        <v>10001</v>
      </c>
      <c r="D5302" s="18"/>
      <c r="E5302" s="19"/>
      <c r="F5302" s="19"/>
      <c r="G5302" s="18"/>
    </row>
    <row r="5303" spans="2:7" ht="11.25" outlineLevel="7" x14ac:dyDescent="0.2">
      <c r="B5303" s="14" t="s">
        <v>10002</v>
      </c>
      <c r="C5303" s="14" t="s">
        <v>10003</v>
      </c>
      <c r="D5303" s="14">
        <v>1</v>
      </c>
      <c r="E5303" s="15">
        <v>212.66</v>
      </c>
      <c r="F5303" s="16" t="s">
        <v>8</v>
      </c>
      <c r="G5303" s="14"/>
    </row>
    <row r="5304" spans="2:7" ht="11.25" outlineLevel="7" x14ac:dyDescent="0.2">
      <c r="B5304" s="14" t="s">
        <v>10004</v>
      </c>
      <c r="C5304" s="14" t="s">
        <v>10005</v>
      </c>
      <c r="D5304" s="14">
        <v>1</v>
      </c>
      <c r="E5304" s="15">
        <v>248.3</v>
      </c>
      <c r="F5304" s="16" t="s">
        <v>8</v>
      </c>
      <c r="G5304" s="14"/>
    </row>
    <row r="5305" spans="2:7" ht="11.25" outlineLevel="7" x14ac:dyDescent="0.2">
      <c r="B5305" s="14" t="s">
        <v>10006</v>
      </c>
      <c r="C5305" s="14" t="s">
        <v>8467</v>
      </c>
      <c r="D5305" s="14">
        <v>1</v>
      </c>
      <c r="E5305" s="15">
        <v>260.32</v>
      </c>
      <c r="F5305" s="16" t="s">
        <v>8</v>
      </c>
      <c r="G5305" s="14"/>
    </row>
    <row r="5306" spans="2:7" ht="11.25" outlineLevel="7" x14ac:dyDescent="0.2">
      <c r="B5306" s="14" t="s">
        <v>10007</v>
      </c>
      <c r="C5306" s="14" t="s">
        <v>8469</v>
      </c>
      <c r="D5306" s="14">
        <v>1</v>
      </c>
      <c r="E5306" s="15">
        <v>378.05</v>
      </c>
      <c r="F5306" s="16" t="s">
        <v>8</v>
      </c>
      <c r="G5306" s="14"/>
    </row>
    <row r="5307" spans="2:7" ht="11.25" outlineLevel="7" x14ac:dyDescent="0.2">
      <c r="B5307" s="14" t="s">
        <v>10008</v>
      </c>
      <c r="C5307" s="14" t="s">
        <v>8471</v>
      </c>
      <c r="D5307" s="14">
        <v>1</v>
      </c>
      <c r="E5307" s="15">
        <v>445.54</v>
      </c>
      <c r="F5307" s="16" t="s">
        <v>8</v>
      </c>
      <c r="G5307" s="14"/>
    </row>
    <row r="5308" spans="2:7" ht="11.25" outlineLevel="7" x14ac:dyDescent="0.2">
      <c r="B5308" s="14" t="s">
        <v>10009</v>
      </c>
      <c r="C5308" s="14" t="s">
        <v>10010</v>
      </c>
      <c r="D5308" s="14">
        <v>1</v>
      </c>
      <c r="E5308" s="15">
        <v>533.41999999999996</v>
      </c>
      <c r="F5308" s="16" t="s">
        <v>8</v>
      </c>
      <c r="G5308" s="14"/>
    </row>
    <row r="5309" spans="2:7" ht="11.25" outlineLevel="7" x14ac:dyDescent="0.2">
      <c r="B5309" s="14" t="s">
        <v>10011</v>
      </c>
      <c r="C5309" s="14" t="s">
        <v>10012</v>
      </c>
      <c r="D5309" s="14">
        <v>1</v>
      </c>
      <c r="E5309" s="15">
        <v>628.13</v>
      </c>
      <c r="F5309" s="16" t="s">
        <v>8</v>
      </c>
      <c r="G5309" s="14"/>
    </row>
    <row r="5310" spans="2:7" ht="12" outlineLevel="6" x14ac:dyDescent="0.2">
      <c r="B5310" s="18"/>
      <c r="C5310" s="39" t="s">
        <v>10013</v>
      </c>
      <c r="D5310" s="18"/>
      <c r="E5310" s="19"/>
      <c r="F5310" s="19"/>
      <c r="G5310" s="18"/>
    </row>
    <row r="5311" spans="2:7" ht="11.25" outlineLevel="7" x14ac:dyDescent="0.2">
      <c r="B5311" s="14" t="s">
        <v>10014</v>
      </c>
      <c r="C5311" s="14" t="s">
        <v>10015</v>
      </c>
      <c r="D5311" s="14">
        <v>1</v>
      </c>
      <c r="E5311" s="15">
        <v>75.31</v>
      </c>
      <c r="F5311" s="16" t="s">
        <v>8</v>
      </c>
      <c r="G5311" s="14"/>
    </row>
    <row r="5312" spans="2:7" ht="11.25" outlineLevel="7" x14ac:dyDescent="0.2">
      <c r="B5312" s="14" t="s">
        <v>10016</v>
      </c>
      <c r="C5312" s="14" t="s">
        <v>10017</v>
      </c>
      <c r="D5312" s="14">
        <v>1</v>
      </c>
      <c r="E5312" s="15">
        <v>89.75</v>
      </c>
      <c r="F5312" s="16" t="s">
        <v>8</v>
      </c>
      <c r="G5312" s="38" t="str">
        <f>HYPERLINK("http://enext.ua/2344031")</f>
        <v>http://enext.ua/2344031</v>
      </c>
    </row>
    <row r="5313" spans="2:7" ht="11.25" outlineLevel="7" x14ac:dyDescent="0.2">
      <c r="B5313" s="14" t="s">
        <v>10018</v>
      </c>
      <c r="C5313" s="14" t="s">
        <v>10019</v>
      </c>
      <c r="D5313" s="14">
        <v>1</v>
      </c>
      <c r="E5313" s="15">
        <v>99.65</v>
      </c>
      <c r="F5313" s="16" t="s">
        <v>8</v>
      </c>
      <c r="G5313" s="38" t="str">
        <f>HYPERLINK("http://enext.ua/2345031")</f>
        <v>http://enext.ua/2345031</v>
      </c>
    </row>
    <row r="5314" spans="2:7" ht="11.25" outlineLevel="7" x14ac:dyDescent="0.2">
      <c r="B5314" s="14" t="s">
        <v>10020</v>
      </c>
      <c r="C5314" s="14" t="s">
        <v>10021</v>
      </c>
      <c r="D5314" s="14">
        <v>1</v>
      </c>
      <c r="E5314" s="15">
        <v>128.36000000000001</v>
      </c>
      <c r="F5314" s="16" t="s">
        <v>8</v>
      </c>
      <c r="G5314" s="38" t="str">
        <f>HYPERLINK("http://enext.ua/2346031")</f>
        <v>http://enext.ua/2346031</v>
      </c>
    </row>
    <row r="5315" spans="2:7" ht="11.25" outlineLevel="7" x14ac:dyDescent="0.2">
      <c r="B5315" s="14" t="s">
        <v>10022</v>
      </c>
      <c r="C5315" s="14" t="s">
        <v>10023</v>
      </c>
      <c r="D5315" s="14">
        <v>1</v>
      </c>
      <c r="E5315" s="15">
        <v>144.55000000000001</v>
      </c>
      <c r="F5315" s="16" t="s">
        <v>8</v>
      </c>
      <c r="G5315" s="14"/>
    </row>
    <row r="5316" spans="2:7" ht="11.25" outlineLevel="7" x14ac:dyDescent="0.2">
      <c r="B5316" s="14" t="s">
        <v>10024</v>
      </c>
      <c r="C5316" s="14" t="s">
        <v>10025</v>
      </c>
      <c r="D5316" s="14">
        <v>1</v>
      </c>
      <c r="E5316" s="15">
        <v>67.209999999999994</v>
      </c>
      <c r="F5316" s="16" t="s">
        <v>8</v>
      </c>
      <c r="G5316" s="14"/>
    </row>
    <row r="5317" spans="2:7" ht="11.25" outlineLevel="7" x14ac:dyDescent="0.2">
      <c r="B5317" s="14" t="s">
        <v>10026</v>
      </c>
      <c r="C5317" s="14" t="s">
        <v>10027</v>
      </c>
      <c r="D5317" s="14">
        <v>1</v>
      </c>
      <c r="E5317" s="15">
        <v>277.76</v>
      </c>
      <c r="F5317" s="16" t="s">
        <v>8</v>
      </c>
      <c r="G5317" s="14"/>
    </row>
    <row r="5318" spans="2:7" ht="11.25" outlineLevel="7" x14ac:dyDescent="0.2">
      <c r="B5318" s="14" t="s">
        <v>10028</v>
      </c>
      <c r="C5318" s="14" t="s">
        <v>10029</v>
      </c>
      <c r="D5318" s="14">
        <v>1</v>
      </c>
      <c r="E5318" s="15">
        <v>294.23</v>
      </c>
      <c r="F5318" s="16" t="s">
        <v>8</v>
      </c>
      <c r="G5318" s="14"/>
    </row>
    <row r="5319" spans="2:7" ht="11.25" outlineLevel="7" x14ac:dyDescent="0.2">
      <c r="B5319" s="14" t="s">
        <v>10030</v>
      </c>
      <c r="C5319" s="14" t="s">
        <v>10031</v>
      </c>
      <c r="D5319" s="14">
        <v>1</v>
      </c>
      <c r="E5319" s="15">
        <v>70.78</v>
      </c>
      <c r="F5319" s="16" t="s">
        <v>8</v>
      </c>
      <c r="G5319" s="14"/>
    </row>
    <row r="5320" spans="2:7" ht="12" outlineLevel="5" x14ac:dyDescent="0.2">
      <c r="B5320" s="18"/>
      <c r="C5320" s="39" t="s">
        <v>10032</v>
      </c>
      <c r="D5320" s="18"/>
      <c r="E5320" s="19"/>
      <c r="F5320" s="19"/>
      <c r="G5320" s="18"/>
    </row>
    <row r="5321" spans="2:7" ht="12" outlineLevel="6" x14ac:dyDescent="0.2">
      <c r="B5321" s="18"/>
      <c r="C5321" s="39" t="s">
        <v>10033</v>
      </c>
      <c r="D5321" s="18"/>
      <c r="E5321" s="19"/>
      <c r="F5321" s="19"/>
      <c r="G5321" s="18"/>
    </row>
    <row r="5322" spans="2:7" ht="11.25" outlineLevel="7" x14ac:dyDescent="0.2">
      <c r="B5322" s="14" t="s">
        <v>10034</v>
      </c>
      <c r="C5322" s="14" t="s">
        <v>10035</v>
      </c>
      <c r="D5322" s="14">
        <v>1</v>
      </c>
      <c r="E5322" s="15">
        <v>508.88</v>
      </c>
      <c r="F5322" s="16" t="s">
        <v>8</v>
      </c>
      <c r="G5322" s="14"/>
    </row>
    <row r="5323" spans="2:7" ht="11.25" outlineLevel="7" x14ac:dyDescent="0.2">
      <c r="B5323" s="14" t="s">
        <v>10036</v>
      </c>
      <c r="C5323" s="14" t="s">
        <v>10037</v>
      </c>
      <c r="D5323" s="14">
        <v>1</v>
      </c>
      <c r="E5323" s="15">
        <v>584.39</v>
      </c>
      <c r="F5323" s="16" t="s">
        <v>8</v>
      </c>
      <c r="G5323" s="14"/>
    </row>
    <row r="5324" spans="2:7" ht="11.25" outlineLevel="7" x14ac:dyDescent="0.2">
      <c r="B5324" s="14" t="s">
        <v>10038</v>
      </c>
      <c r="C5324" s="14" t="s">
        <v>10039</v>
      </c>
      <c r="D5324" s="14">
        <v>1</v>
      </c>
      <c r="E5324" s="15">
        <v>669.07</v>
      </c>
      <c r="F5324" s="16" t="s">
        <v>8</v>
      </c>
      <c r="G5324" s="14"/>
    </row>
    <row r="5325" spans="2:7" ht="11.25" outlineLevel="7" x14ac:dyDescent="0.2">
      <c r="B5325" s="14" t="s">
        <v>10040</v>
      </c>
      <c r="C5325" s="14" t="s">
        <v>10041</v>
      </c>
      <c r="D5325" s="14">
        <v>1</v>
      </c>
      <c r="E5325" s="15">
        <v>799.13</v>
      </c>
      <c r="F5325" s="16" t="s">
        <v>8</v>
      </c>
      <c r="G5325" s="14"/>
    </row>
    <row r="5326" spans="2:7" ht="11.25" outlineLevel="7" x14ac:dyDescent="0.2">
      <c r="B5326" s="14" t="s">
        <v>10042</v>
      </c>
      <c r="C5326" s="14" t="s">
        <v>10043</v>
      </c>
      <c r="D5326" s="14">
        <v>1</v>
      </c>
      <c r="E5326" s="15">
        <v>482.3</v>
      </c>
      <c r="F5326" s="16" t="s">
        <v>8</v>
      </c>
      <c r="G5326" s="14"/>
    </row>
    <row r="5327" spans="2:7" ht="11.25" outlineLevel="7" x14ac:dyDescent="0.2">
      <c r="B5327" s="14" t="s">
        <v>10044</v>
      </c>
      <c r="C5327" s="14" t="s">
        <v>10045</v>
      </c>
      <c r="D5327" s="14">
        <v>1</v>
      </c>
      <c r="E5327" s="15">
        <v>500.06</v>
      </c>
      <c r="F5327" s="16" t="s">
        <v>8</v>
      </c>
      <c r="G5327" s="14"/>
    </row>
    <row r="5328" spans="2:7" ht="12" outlineLevel="6" x14ac:dyDescent="0.2">
      <c r="B5328" s="18"/>
      <c r="C5328" s="39" t="s">
        <v>10046</v>
      </c>
      <c r="D5328" s="18"/>
      <c r="E5328" s="19"/>
      <c r="F5328" s="19"/>
      <c r="G5328" s="18"/>
    </row>
    <row r="5329" spans="2:7" ht="11.25" outlineLevel="7" x14ac:dyDescent="0.2">
      <c r="B5329" s="14" t="s">
        <v>10047</v>
      </c>
      <c r="C5329" s="14" t="s">
        <v>10048</v>
      </c>
      <c r="D5329" s="14">
        <v>1</v>
      </c>
      <c r="E5329" s="15">
        <v>558.94000000000005</v>
      </c>
      <c r="F5329" s="16" t="s">
        <v>8</v>
      </c>
      <c r="G5329" s="14"/>
    </row>
    <row r="5330" spans="2:7" ht="11.25" outlineLevel="7" x14ac:dyDescent="0.2">
      <c r="B5330" s="14" t="s">
        <v>10049</v>
      </c>
      <c r="C5330" s="14" t="s">
        <v>10050</v>
      </c>
      <c r="D5330" s="14">
        <v>1</v>
      </c>
      <c r="E5330" s="15">
        <v>626.46</v>
      </c>
      <c r="F5330" s="16" t="s">
        <v>8</v>
      </c>
      <c r="G5330" s="14"/>
    </row>
    <row r="5331" spans="2:7" ht="11.25" outlineLevel="7" x14ac:dyDescent="0.2">
      <c r="B5331" s="14" t="s">
        <v>10051</v>
      </c>
      <c r="C5331" s="14" t="s">
        <v>8363</v>
      </c>
      <c r="D5331" s="14">
        <v>1</v>
      </c>
      <c r="E5331" s="15">
        <v>737.75</v>
      </c>
      <c r="F5331" s="16" t="s">
        <v>8</v>
      </c>
      <c r="G5331" s="38" t="str">
        <f>HYPERLINK("http://enext.ua/2335230")</f>
        <v>http://enext.ua/2335230</v>
      </c>
    </row>
    <row r="5332" spans="2:7" ht="11.25" outlineLevel="7" x14ac:dyDescent="0.2">
      <c r="B5332" s="14" t="s">
        <v>10052</v>
      </c>
      <c r="C5332" s="14" t="s">
        <v>8365</v>
      </c>
      <c r="D5332" s="14">
        <v>1</v>
      </c>
      <c r="E5332" s="15">
        <v>843.91</v>
      </c>
      <c r="F5332" s="16" t="s">
        <v>8</v>
      </c>
      <c r="G5332" s="14"/>
    </row>
    <row r="5333" spans="2:7" ht="11.25" outlineLevel="7" x14ac:dyDescent="0.2">
      <c r="B5333" s="14" t="s">
        <v>10053</v>
      </c>
      <c r="C5333" s="14" t="s">
        <v>8367</v>
      </c>
      <c r="D5333" s="14">
        <v>1</v>
      </c>
      <c r="E5333" s="15">
        <v>973.13</v>
      </c>
      <c r="F5333" s="16" t="s">
        <v>8</v>
      </c>
      <c r="G5333" s="14"/>
    </row>
    <row r="5334" spans="2:7" ht="11.25" outlineLevel="7" x14ac:dyDescent="0.2">
      <c r="B5334" s="14" t="s">
        <v>10054</v>
      </c>
      <c r="C5334" s="14" t="s">
        <v>10055</v>
      </c>
      <c r="D5334" s="14">
        <v>1</v>
      </c>
      <c r="E5334" s="17">
        <v>1106.69</v>
      </c>
      <c r="F5334" s="16" t="s">
        <v>8</v>
      </c>
      <c r="G5334" s="14"/>
    </row>
    <row r="5335" spans="2:7" ht="11.25" outlineLevel="7" x14ac:dyDescent="0.2">
      <c r="B5335" s="14" t="s">
        <v>10056</v>
      </c>
      <c r="C5335" s="14" t="s">
        <v>10057</v>
      </c>
      <c r="D5335" s="14">
        <v>1</v>
      </c>
      <c r="E5335" s="15">
        <v>506.47</v>
      </c>
      <c r="F5335" s="16" t="s">
        <v>8</v>
      </c>
      <c r="G5335" s="14"/>
    </row>
    <row r="5336" spans="2:7" ht="11.25" outlineLevel="7" x14ac:dyDescent="0.2">
      <c r="B5336" s="14" t="s">
        <v>10058</v>
      </c>
      <c r="C5336" s="14" t="s">
        <v>10059</v>
      </c>
      <c r="D5336" s="14">
        <v>1</v>
      </c>
      <c r="E5336" s="17">
        <v>1588.81</v>
      </c>
      <c r="F5336" s="16" t="s">
        <v>8</v>
      </c>
      <c r="G5336" s="14"/>
    </row>
    <row r="5337" spans="2:7" ht="12" outlineLevel="6" x14ac:dyDescent="0.2">
      <c r="B5337" s="18"/>
      <c r="C5337" s="39" t="s">
        <v>10060</v>
      </c>
      <c r="D5337" s="18"/>
      <c r="E5337" s="19"/>
      <c r="F5337" s="19"/>
      <c r="G5337" s="18"/>
    </row>
    <row r="5338" spans="2:7" ht="11.25" outlineLevel="7" x14ac:dyDescent="0.2">
      <c r="B5338" s="14" t="s">
        <v>10061</v>
      </c>
      <c r="C5338" s="14" t="s">
        <v>10062</v>
      </c>
      <c r="D5338" s="14">
        <v>1</v>
      </c>
      <c r="E5338" s="15">
        <v>587.92999999999995</v>
      </c>
      <c r="F5338" s="16" t="s">
        <v>8</v>
      </c>
      <c r="G5338" s="14"/>
    </row>
    <row r="5339" spans="2:7" ht="11.25" outlineLevel="7" x14ac:dyDescent="0.2">
      <c r="B5339" s="14" t="s">
        <v>10063</v>
      </c>
      <c r="C5339" s="14" t="s">
        <v>10064</v>
      </c>
      <c r="D5339" s="14">
        <v>1</v>
      </c>
      <c r="E5339" s="15">
        <v>675.16</v>
      </c>
      <c r="F5339" s="16" t="s">
        <v>8</v>
      </c>
      <c r="G5339" s="14"/>
    </row>
    <row r="5340" spans="2:7" ht="11.25" outlineLevel="7" x14ac:dyDescent="0.2">
      <c r="B5340" s="14" t="s">
        <v>10065</v>
      </c>
      <c r="C5340" s="14" t="s">
        <v>10066</v>
      </c>
      <c r="D5340" s="14">
        <v>1</v>
      </c>
      <c r="E5340" s="15">
        <v>764.88</v>
      </c>
      <c r="F5340" s="16" t="s">
        <v>8</v>
      </c>
      <c r="G5340" s="14"/>
    </row>
    <row r="5341" spans="2:7" ht="11.25" outlineLevel="7" x14ac:dyDescent="0.2">
      <c r="B5341" s="14" t="s">
        <v>10067</v>
      </c>
      <c r="C5341" s="14" t="s">
        <v>10068</v>
      </c>
      <c r="D5341" s="14">
        <v>1</v>
      </c>
      <c r="E5341" s="15">
        <v>916.61</v>
      </c>
      <c r="F5341" s="16" t="s">
        <v>8</v>
      </c>
      <c r="G5341" s="14"/>
    </row>
    <row r="5342" spans="2:7" ht="11.25" outlineLevel="7" x14ac:dyDescent="0.2">
      <c r="B5342" s="14" t="s">
        <v>10069</v>
      </c>
      <c r="C5342" s="14" t="s">
        <v>10070</v>
      </c>
      <c r="D5342" s="14">
        <v>1</v>
      </c>
      <c r="E5342" s="17">
        <v>1056.97</v>
      </c>
      <c r="F5342" s="16" t="s">
        <v>8</v>
      </c>
      <c r="G5342" s="14"/>
    </row>
    <row r="5343" spans="2:7" ht="11.25" outlineLevel="7" x14ac:dyDescent="0.2">
      <c r="B5343" s="14" t="s">
        <v>10071</v>
      </c>
      <c r="C5343" s="14" t="s">
        <v>10072</v>
      </c>
      <c r="D5343" s="14">
        <v>1</v>
      </c>
      <c r="E5343" s="17">
        <v>1202.08</v>
      </c>
      <c r="F5343" s="16" t="s">
        <v>8</v>
      </c>
      <c r="G5343" s="14"/>
    </row>
    <row r="5344" spans="2:7" ht="11.25" outlineLevel="7" x14ac:dyDescent="0.2">
      <c r="B5344" s="14" t="s">
        <v>10073</v>
      </c>
      <c r="C5344" s="14" t="s">
        <v>10074</v>
      </c>
      <c r="D5344" s="14">
        <v>1</v>
      </c>
      <c r="E5344" s="17">
        <v>1648.76</v>
      </c>
      <c r="F5344" s="16" t="s">
        <v>8</v>
      </c>
      <c r="G5344" s="14"/>
    </row>
    <row r="5345" spans="2:7" ht="11.25" outlineLevel="7" x14ac:dyDescent="0.2">
      <c r="B5345" s="14" t="s">
        <v>10075</v>
      </c>
      <c r="C5345" s="14" t="s">
        <v>10076</v>
      </c>
      <c r="D5345" s="14">
        <v>1</v>
      </c>
      <c r="E5345" s="15">
        <v>546.08000000000004</v>
      </c>
      <c r="F5345" s="16" t="s">
        <v>8</v>
      </c>
      <c r="G5345" s="14"/>
    </row>
    <row r="5346" spans="2:7" ht="12" outlineLevel="6" x14ac:dyDescent="0.2">
      <c r="B5346" s="18"/>
      <c r="C5346" s="39" t="s">
        <v>10077</v>
      </c>
      <c r="D5346" s="18"/>
      <c r="E5346" s="19"/>
      <c r="F5346" s="19"/>
      <c r="G5346" s="18"/>
    </row>
    <row r="5347" spans="2:7" ht="11.25" outlineLevel="7" x14ac:dyDescent="0.2">
      <c r="B5347" s="14" t="s">
        <v>10078</v>
      </c>
      <c r="C5347" s="14" t="s">
        <v>10079</v>
      </c>
      <c r="D5347" s="14">
        <v>1</v>
      </c>
      <c r="E5347" s="15">
        <v>692.53</v>
      </c>
      <c r="F5347" s="16" t="s">
        <v>8</v>
      </c>
      <c r="G5347" s="14"/>
    </row>
    <row r="5348" spans="2:7" ht="11.25" outlineLevel="7" x14ac:dyDescent="0.2">
      <c r="B5348" s="14" t="s">
        <v>10080</v>
      </c>
      <c r="C5348" s="14" t="s">
        <v>10081</v>
      </c>
      <c r="D5348" s="14">
        <v>1</v>
      </c>
      <c r="E5348" s="15">
        <v>811.49</v>
      </c>
      <c r="F5348" s="16" t="s">
        <v>8</v>
      </c>
      <c r="G5348" s="14"/>
    </row>
    <row r="5349" spans="2:7" ht="11.25" outlineLevel="7" x14ac:dyDescent="0.2">
      <c r="B5349" s="14" t="s">
        <v>10082</v>
      </c>
      <c r="C5349" s="14" t="s">
        <v>10083</v>
      </c>
      <c r="D5349" s="14">
        <v>1</v>
      </c>
      <c r="E5349" s="15">
        <v>884.36</v>
      </c>
      <c r="F5349" s="16" t="s">
        <v>8</v>
      </c>
      <c r="G5349" s="14"/>
    </row>
    <row r="5350" spans="2:7" ht="11.25" outlineLevel="7" x14ac:dyDescent="0.2">
      <c r="B5350" s="14" t="s">
        <v>10084</v>
      </c>
      <c r="C5350" s="14" t="s">
        <v>10085</v>
      </c>
      <c r="D5350" s="14">
        <v>1</v>
      </c>
      <c r="E5350" s="17">
        <v>1082.5899999999999</v>
      </c>
      <c r="F5350" s="16" t="s">
        <v>8</v>
      </c>
      <c r="G5350" s="14"/>
    </row>
    <row r="5351" spans="2:7" ht="11.25" outlineLevel="7" x14ac:dyDescent="0.2">
      <c r="B5351" s="14" t="s">
        <v>10086</v>
      </c>
      <c r="C5351" s="14" t="s">
        <v>10087</v>
      </c>
      <c r="D5351" s="14">
        <v>1</v>
      </c>
      <c r="E5351" s="17">
        <v>1257.52</v>
      </c>
      <c r="F5351" s="16" t="s">
        <v>8</v>
      </c>
      <c r="G5351" s="14"/>
    </row>
    <row r="5352" spans="2:7" ht="11.25" outlineLevel="7" x14ac:dyDescent="0.2">
      <c r="B5352" s="14" t="s">
        <v>10088</v>
      </c>
      <c r="C5352" s="14" t="s">
        <v>10089</v>
      </c>
      <c r="D5352" s="14">
        <v>1</v>
      </c>
      <c r="E5352" s="17">
        <v>1496.76</v>
      </c>
      <c r="F5352" s="16" t="s">
        <v>8</v>
      </c>
      <c r="G5352" s="14"/>
    </row>
    <row r="5353" spans="2:7" ht="11.25" outlineLevel="7" x14ac:dyDescent="0.2">
      <c r="B5353" s="14" t="s">
        <v>10090</v>
      </c>
      <c r="C5353" s="14" t="s">
        <v>10091</v>
      </c>
      <c r="D5353" s="14">
        <v>1</v>
      </c>
      <c r="E5353" s="17">
        <v>1710.26</v>
      </c>
      <c r="F5353" s="16" t="s">
        <v>8</v>
      </c>
      <c r="G5353" s="14"/>
    </row>
    <row r="5354" spans="2:7" ht="12" outlineLevel="6" x14ac:dyDescent="0.2">
      <c r="B5354" s="18"/>
      <c r="C5354" s="39" t="s">
        <v>10092</v>
      </c>
      <c r="D5354" s="18"/>
      <c r="E5354" s="19"/>
      <c r="F5354" s="19"/>
      <c r="G5354" s="18"/>
    </row>
    <row r="5355" spans="2:7" ht="11.25" outlineLevel="7" x14ac:dyDescent="0.2">
      <c r="B5355" s="14" t="s">
        <v>10093</v>
      </c>
      <c r="C5355" s="14" t="s">
        <v>10094</v>
      </c>
      <c r="D5355" s="14">
        <v>1</v>
      </c>
      <c r="E5355" s="15">
        <v>68.45</v>
      </c>
      <c r="F5355" s="16" t="s">
        <v>8</v>
      </c>
      <c r="G5355" s="14"/>
    </row>
    <row r="5356" spans="2:7" ht="11.25" outlineLevel="7" x14ac:dyDescent="0.2">
      <c r="B5356" s="14" t="s">
        <v>10095</v>
      </c>
      <c r="C5356" s="14" t="s">
        <v>10096</v>
      </c>
      <c r="D5356" s="14">
        <v>1</v>
      </c>
      <c r="E5356" s="15">
        <v>92.33</v>
      </c>
      <c r="F5356" s="16" t="s">
        <v>8</v>
      </c>
      <c r="G5356" s="14"/>
    </row>
    <row r="5357" spans="2:7" ht="11.25" outlineLevel="7" x14ac:dyDescent="0.2">
      <c r="B5357" s="14" t="s">
        <v>10097</v>
      </c>
      <c r="C5357" s="14" t="s">
        <v>10098</v>
      </c>
      <c r="D5357" s="14">
        <v>1</v>
      </c>
      <c r="E5357" s="15">
        <v>126.16</v>
      </c>
      <c r="F5357" s="16" t="s">
        <v>8</v>
      </c>
      <c r="G5357" s="14"/>
    </row>
    <row r="5358" spans="2:7" ht="11.25" outlineLevel="7" x14ac:dyDescent="0.2">
      <c r="B5358" s="14" t="s">
        <v>10099</v>
      </c>
      <c r="C5358" s="14" t="s">
        <v>10100</v>
      </c>
      <c r="D5358" s="14">
        <v>1</v>
      </c>
      <c r="E5358" s="15">
        <v>174.2</v>
      </c>
      <c r="F5358" s="16" t="s">
        <v>8</v>
      </c>
      <c r="G5358" s="14"/>
    </row>
    <row r="5359" spans="2:7" ht="11.25" outlineLevel="7" x14ac:dyDescent="0.2">
      <c r="B5359" s="14" t="s">
        <v>10101</v>
      </c>
      <c r="C5359" s="14" t="s">
        <v>10102</v>
      </c>
      <c r="D5359" s="14">
        <v>1</v>
      </c>
      <c r="E5359" s="15">
        <v>61.5</v>
      </c>
      <c r="F5359" s="16" t="s">
        <v>8</v>
      </c>
      <c r="G5359" s="14"/>
    </row>
    <row r="5360" spans="2:7" ht="11.25" outlineLevel="7" x14ac:dyDescent="0.2">
      <c r="B5360" s="14" t="s">
        <v>10103</v>
      </c>
      <c r="C5360" s="14" t="s">
        <v>10104</v>
      </c>
      <c r="D5360" s="14">
        <v>1</v>
      </c>
      <c r="E5360" s="15">
        <v>67.38</v>
      </c>
      <c r="F5360" s="16" t="s">
        <v>8</v>
      </c>
      <c r="G5360" s="14"/>
    </row>
    <row r="5361" spans="2:7" ht="12" outlineLevel="6" x14ac:dyDescent="0.2">
      <c r="B5361" s="18"/>
      <c r="C5361" s="39" t="s">
        <v>10105</v>
      </c>
      <c r="D5361" s="18"/>
      <c r="E5361" s="19"/>
      <c r="F5361" s="19"/>
      <c r="G5361" s="18"/>
    </row>
    <row r="5362" spans="2:7" ht="11.25" outlineLevel="7" x14ac:dyDescent="0.2">
      <c r="B5362" s="14" t="s">
        <v>10106</v>
      </c>
      <c r="C5362" s="14" t="s">
        <v>10107</v>
      </c>
      <c r="D5362" s="14">
        <v>1</v>
      </c>
      <c r="E5362" s="15">
        <v>86.38</v>
      </c>
      <c r="F5362" s="16" t="s">
        <v>8</v>
      </c>
      <c r="G5362" s="14"/>
    </row>
    <row r="5363" spans="2:7" ht="11.25" outlineLevel="7" x14ac:dyDescent="0.2">
      <c r="B5363" s="14" t="s">
        <v>10108</v>
      </c>
      <c r="C5363" s="14" t="s">
        <v>10109</v>
      </c>
      <c r="D5363" s="14">
        <v>1</v>
      </c>
      <c r="E5363" s="15">
        <v>116.53</v>
      </c>
      <c r="F5363" s="16" t="s">
        <v>8</v>
      </c>
      <c r="G5363" s="14"/>
    </row>
    <row r="5364" spans="2:7" ht="11.25" outlineLevel="7" x14ac:dyDescent="0.2">
      <c r="B5364" s="14" t="s">
        <v>10110</v>
      </c>
      <c r="C5364" s="14" t="s">
        <v>10111</v>
      </c>
      <c r="D5364" s="14">
        <v>1</v>
      </c>
      <c r="E5364" s="15">
        <v>140.86000000000001</v>
      </c>
      <c r="F5364" s="16" t="s">
        <v>8</v>
      </c>
      <c r="G5364" s="14"/>
    </row>
    <row r="5365" spans="2:7" ht="11.25" outlineLevel="7" x14ac:dyDescent="0.2">
      <c r="B5365" s="14" t="s">
        <v>10112</v>
      </c>
      <c r="C5365" s="14" t="s">
        <v>10113</v>
      </c>
      <c r="D5365" s="14">
        <v>1</v>
      </c>
      <c r="E5365" s="15">
        <v>169.13</v>
      </c>
      <c r="F5365" s="16" t="s">
        <v>8</v>
      </c>
      <c r="G5365" s="14"/>
    </row>
    <row r="5366" spans="2:7" ht="11.25" outlineLevel="7" x14ac:dyDescent="0.2">
      <c r="B5366" s="14" t="s">
        <v>10114</v>
      </c>
      <c r="C5366" s="14" t="s">
        <v>10115</v>
      </c>
      <c r="D5366" s="14">
        <v>1</v>
      </c>
      <c r="E5366" s="15">
        <v>269.17</v>
      </c>
      <c r="F5366" s="16" t="s">
        <v>8</v>
      </c>
      <c r="G5366" s="14"/>
    </row>
    <row r="5367" spans="2:7" ht="11.25" outlineLevel="7" x14ac:dyDescent="0.2">
      <c r="B5367" s="14" t="s">
        <v>10116</v>
      </c>
      <c r="C5367" s="14" t="s">
        <v>10117</v>
      </c>
      <c r="D5367" s="14">
        <v>1</v>
      </c>
      <c r="E5367" s="15">
        <v>315.89999999999998</v>
      </c>
      <c r="F5367" s="16" t="s">
        <v>8</v>
      </c>
      <c r="G5367" s="14"/>
    </row>
    <row r="5368" spans="2:7" ht="11.25" outlineLevel="7" x14ac:dyDescent="0.2">
      <c r="B5368" s="14" t="s">
        <v>10118</v>
      </c>
      <c r="C5368" s="14" t="s">
        <v>10119</v>
      </c>
      <c r="D5368" s="14">
        <v>1</v>
      </c>
      <c r="E5368" s="15">
        <v>77.62</v>
      </c>
      <c r="F5368" s="16" t="s">
        <v>8</v>
      </c>
      <c r="G5368" s="14"/>
    </row>
    <row r="5369" spans="2:7" ht="11.25" outlineLevel="7" x14ac:dyDescent="0.2">
      <c r="B5369" s="14" t="s">
        <v>10120</v>
      </c>
      <c r="C5369" s="14" t="s">
        <v>10121</v>
      </c>
      <c r="D5369" s="14">
        <v>1</v>
      </c>
      <c r="E5369" s="15">
        <v>352.93</v>
      </c>
      <c r="F5369" s="16" t="s">
        <v>8</v>
      </c>
      <c r="G5369" s="14"/>
    </row>
    <row r="5370" spans="2:7" ht="12" outlineLevel="6" x14ac:dyDescent="0.2">
      <c r="B5370" s="18"/>
      <c r="C5370" s="39" t="s">
        <v>10122</v>
      </c>
      <c r="D5370" s="18"/>
      <c r="E5370" s="19"/>
      <c r="F5370" s="19"/>
      <c r="G5370" s="18"/>
    </row>
    <row r="5371" spans="2:7" ht="11.25" outlineLevel="7" x14ac:dyDescent="0.2">
      <c r="B5371" s="14" t="s">
        <v>10123</v>
      </c>
      <c r="C5371" s="14" t="s">
        <v>10124</v>
      </c>
      <c r="D5371" s="14">
        <v>1</v>
      </c>
      <c r="E5371" s="15">
        <v>86.38</v>
      </c>
      <c r="F5371" s="16" t="s">
        <v>8</v>
      </c>
      <c r="G5371" s="14"/>
    </row>
    <row r="5372" spans="2:7" ht="11.25" outlineLevel="7" x14ac:dyDescent="0.2">
      <c r="B5372" s="14" t="s">
        <v>10125</v>
      </c>
      <c r="C5372" s="14" t="s">
        <v>10126</v>
      </c>
      <c r="D5372" s="14">
        <v>1</v>
      </c>
      <c r="E5372" s="15">
        <v>116.53</v>
      </c>
      <c r="F5372" s="16" t="s">
        <v>8</v>
      </c>
      <c r="G5372" s="14"/>
    </row>
    <row r="5373" spans="2:7" ht="11.25" outlineLevel="7" x14ac:dyDescent="0.2">
      <c r="B5373" s="14" t="s">
        <v>10127</v>
      </c>
      <c r="C5373" s="14" t="s">
        <v>10128</v>
      </c>
      <c r="D5373" s="14">
        <v>1</v>
      </c>
      <c r="E5373" s="15">
        <v>140.86000000000001</v>
      </c>
      <c r="F5373" s="16" t="s">
        <v>8</v>
      </c>
      <c r="G5373" s="14"/>
    </row>
    <row r="5374" spans="2:7" ht="11.25" outlineLevel="7" x14ac:dyDescent="0.2">
      <c r="B5374" s="14" t="s">
        <v>10129</v>
      </c>
      <c r="C5374" s="14" t="s">
        <v>10130</v>
      </c>
      <c r="D5374" s="14">
        <v>1</v>
      </c>
      <c r="E5374" s="15">
        <v>169.13</v>
      </c>
      <c r="F5374" s="16" t="s">
        <v>8</v>
      </c>
      <c r="G5374" s="14"/>
    </row>
    <row r="5375" spans="2:7" ht="11.25" outlineLevel="7" x14ac:dyDescent="0.2">
      <c r="B5375" s="14" t="s">
        <v>10131</v>
      </c>
      <c r="C5375" s="14" t="s">
        <v>10132</v>
      </c>
      <c r="D5375" s="14">
        <v>1</v>
      </c>
      <c r="E5375" s="15">
        <v>269.17</v>
      </c>
      <c r="F5375" s="16" t="s">
        <v>8</v>
      </c>
      <c r="G5375" s="14"/>
    </row>
    <row r="5376" spans="2:7" ht="11.25" outlineLevel="7" x14ac:dyDescent="0.2">
      <c r="B5376" s="14" t="s">
        <v>10133</v>
      </c>
      <c r="C5376" s="14" t="s">
        <v>10134</v>
      </c>
      <c r="D5376" s="14">
        <v>1</v>
      </c>
      <c r="E5376" s="15">
        <v>315.89999999999998</v>
      </c>
      <c r="F5376" s="16" t="s">
        <v>8</v>
      </c>
      <c r="G5376" s="14"/>
    </row>
    <row r="5377" spans="2:7" ht="11.25" outlineLevel="7" x14ac:dyDescent="0.2">
      <c r="B5377" s="14" t="s">
        <v>10135</v>
      </c>
      <c r="C5377" s="14" t="s">
        <v>10136</v>
      </c>
      <c r="D5377" s="14">
        <v>1</v>
      </c>
      <c r="E5377" s="15">
        <v>352.93</v>
      </c>
      <c r="F5377" s="16" t="s">
        <v>8</v>
      </c>
      <c r="G5377" s="14"/>
    </row>
    <row r="5378" spans="2:7" ht="11.25" outlineLevel="7" x14ac:dyDescent="0.2">
      <c r="B5378" s="14" t="s">
        <v>10137</v>
      </c>
      <c r="C5378" s="14" t="s">
        <v>10138</v>
      </c>
      <c r="D5378" s="14">
        <v>1</v>
      </c>
      <c r="E5378" s="15">
        <v>85.06</v>
      </c>
      <c r="F5378" s="16" t="s">
        <v>8</v>
      </c>
      <c r="G5378" s="14"/>
    </row>
    <row r="5379" spans="2:7" ht="12" outlineLevel="6" x14ac:dyDescent="0.2">
      <c r="B5379" s="18"/>
      <c r="C5379" s="39" t="s">
        <v>10139</v>
      </c>
      <c r="D5379" s="18"/>
      <c r="E5379" s="19"/>
      <c r="F5379" s="19"/>
      <c r="G5379" s="18"/>
    </row>
    <row r="5380" spans="2:7" ht="11.25" outlineLevel="7" x14ac:dyDescent="0.2">
      <c r="B5380" s="14" t="s">
        <v>10140</v>
      </c>
      <c r="C5380" s="14" t="s">
        <v>10141</v>
      </c>
      <c r="D5380" s="14">
        <v>1</v>
      </c>
      <c r="E5380" s="15">
        <v>86.38</v>
      </c>
      <c r="F5380" s="16" t="s">
        <v>8</v>
      </c>
      <c r="G5380" s="14"/>
    </row>
    <row r="5381" spans="2:7" ht="11.25" outlineLevel="7" x14ac:dyDescent="0.2">
      <c r="B5381" s="14" t="s">
        <v>10142</v>
      </c>
      <c r="C5381" s="14" t="s">
        <v>10143</v>
      </c>
      <c r="D5381" s="14">
        <v>1</v>
      </c>
      <c r="E5381" s="15">
        <v>116.53</v>
      </c>
      <c r="F5381" s="16" t="s">
        <v>8</v>
      </c>
      <c r="G5381" s="14"/>
    </row>
    <row r="5382" spans="2:7" ht="11.25" outlineLevel="7" x14ac:dyDescent="0.2">
      <c r="B5382" s="14" t="s">
        <v>10144</v>
      </c>
      <c r="C5382" s="14" t="s">
        <v>10145</v>
      </c>
      <c r="D5382" s="14">
        <v>1</v>
      </c>
      <c r="E5382" s="15">
        <v>140.86000000000001</v>
      </c>
      <c r="F5382" s="16" t="s">
        <v>8</v>
      </c>
      <c r="G5382" s="14"/>
    </row>
    <row r="5383" spans="2:7" ht="11.25" outlineLevel="7" x14ac:dyDescent="0.2">
      <c r="B5383" s="14" t="s">
        <v>10146</v>
      </c>
      <c r="C5383" s="14" t="s">
        <v>10147</v>
      </c>
      <c r="D5383" s="14">
        <v>1</v>
      </c>
      <c r="E5383" s="15">
        <v>169.13</v>
      </c>
      <c r="F5383" s="16" t="s">
        <v>8</v>
      </c>
      <c r="G5383" s="14"/>
    </row>
    <row r="5384" spans="2:7" ht="11.25" outlineLevel="7" x14ac:dyDescent="0.2">
      <c r="B5384" s="14" t="s">
        <v>10148</v>
      </c>
      <c r="C5384" s="14" t="s">
        <v>10149</v>
      </c>
      <c r="D5384" s="14">
        <v>1</v>
      </c>
      <c r="E5384" s="15">
        <v>269.17</v>
      </c>
      <c r="F5384" s="16" t="s">
        <v>8</v>
      </c>
      <c r="G5384" s="14"/>
    </row>
    <row r="5385" spans="2:7" ht="11.25" outlineLevel="7" x14ac:dyDescent="0.2">
      <c r="B5385" s="14" t="s">
        <v>10150</v>
      </c>
      <c r="C5385" s="14" t="s">
        <v>10151</v>
      </c>
      <c r="D5385" s="14">
        <v>1</v>
      </c>
      <c r="E5385" s="15">
        <v>315.89999999999998</v>
      </c>
      <c r="F5385" s="16" t="s">
        <v>8</v>
      </c>
      <c r="G5385" s="14"/>
    </row>
    <row r="5386" spans="2:7" ht="11.25" outlineLevel="7" x14ac:dyDescent="0.2">
      <c r="B5386" s="14" t="s">
        <v>10152</v>
      </c>
      <c r="C5386" s="14" t="s">
        <v>10153</v>
      </c>
      <c r="D5386" s="14">
        <v>1</v>
      </c>
      <c r="E5386" s="15">
        <v>352.93</v>
      </c>
      <c r="F5386" s="16" t="s">
        <v>8</v>
      </c>
      <c r="G5386" s="14"/>
    </row>
    <row r="5387" spans="2:7" ht="12" outlineLevel="5" x14ac:dyDescent="0.2">
      <c r="B5387" s="18"/>
      <c r="C5387" s="39" t="s">
        <v>10154</v>
      </c>
      <c r="D5387" s="18"/>
      <c r="E5387" s="19"/>
      <c r="F5387" s="19"/>
      <c r="G5387" s="18"/>
    </row>
    <row r="5388" spans="2:7" ht="12" outlineLevel="6" x14ac:dyDescent="0.2">
      <c r="B5388" s="18"/>
      <c r="C5388" s="39" t="s">
        <v>10155</v>
      </c>
      <c r="D5388" s="18"/>
      <c r="E5388" s="19"/>
      <c r="F5388" s="19"/>
      <c r="G5388" s="18"/>
    </row>
    <row r="5389" spans="2:7" ht="11.25" outlineLevel="7" x14ac:dyDescent="0.2">
      <c r="B5389" s="14" t="s">
        <v>10156</v>
      </c>
      <c r="C5389" s="14" t="s">
        <v>10157</v>
      </c>
      <c r="D5389" s="14">
        <v>1</v>
      </c>
      <c r="E5389" s="15">
        <v>624.77</v>
      </c>
      <c r="F5389" s="16" t="s">
        <v>8</v>
      </c>
      <c r="G5389" s="14"/>
    </row>
    <row r="5390" spans="2:7" ht="11.25" outlineLevel="7" x14ac:dyDescent="0.2">
      <c r="B5390" s="14" t="s">
        <v>10158</v>
      </c>
      <c r="C5390" s="14" t="s">
        <v>10159</v>
      </c>
      <c r="D5390" s="14">
        <v>1</v>
      </c>
      <c r="E5390" s="15">
        <v>717.52</v>
      </c>
      <c r="F5390" s="16" t="s">
        <v>8</v>
      </c>
      <c r="G5390" s="14"/>
    </row>
    <row r="5391" spans="2:7" ht="11.25" outlineLevel="7" x14ac:dyDescent="0.2">
      <c r="B5391" s="14" t="s">
        <v>10160</v>
      </c>
      <c r="C5391" s="14" t="s">
        <v>10161</v>
      </c>
      <c r="D5391" s="14">
        <v>1</v>
      </c>
      <c r="E5391" s="15">
        <v>760.75</v>
      </c>
      <c r="F5391" s="16" t="s">
        <v>8</v>
      </c>
      <c r="G5391" s="14"/>
    </row>
    <row r="5392" spans="2:7" ht="11.25" outlineLevel="7" x14ac:dyDescent="0.2">
      <c r="B5392" s="14" t="s">
        <v>10162</v>
      </c>
      <c r="C5392" s="14" t="s">
        <v>10163</v>
      </c>
      <c r="D5392" s="14">
        <v>1</v>
      </c>
      <c r="E5392" s="15">
        <v>808.86</v>
      </c>
      <c r="F5392" s="16" t="s">
        <v>8</v>
      </c>
      <c r="G5392" s="14"/>
    </row>
    <row r="5393" spans="2:7" ht="11.25" outlineLevel="7" x14ac:dyDescent="0.2">
      <c r="B5393" s="14" t="s">
        <v>10164</v>
      </c>
      <c r="C5393" s="14" t="s">
        <v>10165</v>
      </c>
      <c r="D5393" s="14">
        <v>1</v>
      </c>
      <c r="E5393" s="15">
        <v>975.42</v>
      </c>
      <c r="F5393" s="16" t="s">
        <v>8</v>
      </c>
      <c r="G5393" s="14"/>
    </row>
    <row r="5394" spans="2:7" ht="11.25" outlineLevel="7" x14ac:dyDescent="0.2">
      <c r="B5394" s="14" t="s">
        <v>10166</v>
      </c>
      <c r="C5394" s="14" t="s">
        <v>10167</v>
      </c>
      <c r="D5394" s="14">
        <v>1</v>
      </c>
      <c r="E5394" s="15">
        <v>567.48</v>
      </c>
      <c r="F5394" s="16" t="s">
        <v>8</v>
      </c>
      <c r="G5394" s="14"/>
    </row>
    <row r="5395" spans="2:7" ht="11.25" outlineLevel="7" x14ac:dyDescent="0.2">
      <c r="B5395" s="14" t="s">
        <v>10168</v>
      </c>
      <c r="C5395" s="14" t="s">
        <v>10169</v>
      </c>
      <c r="D5395" s="14">
        <v>1</v>
      </c>
      <c r="E5395" s="15">
        <v>613.97</v>
      </c>
      <c r="F5395" s="16" t="s">
        <v>8</v>
      </c>
      <c r="G5395" s="14"/>
    </row>
    <row r="5396" spans="2:7" ht="12" outlineLevel="6" x14ac:dyDescent="0.2">
      <c r="B5396" s="18"/>
      <c r="C5396" s="39" t="s">
        <v>10170</v>
      </c>
      <c r="D5396" s="18"/>
      <c r="E5396" s="19"/>
      <c r="F5396" s="19"/>
      <c r="G5396" s="18"/>
    </row>
    <row r="5397" spans="2:7" ht="11.25" outlineLevel="7" x14ac:dyDescent="0.2">
      <c r="B5397" s="14" t="s">
        <v>10171</v>
      </c>
      <c r="C5397" s="14" t="s">
        <v>10172</v>
      </c>
      <c r="D5397" s="14">
        <v>1</v>
      </c>
      <c r="E5397" s="15">
        <v>658.72</v>
      </c>
      <c r="F5397" s="16" t="s">
        <v>8</v>
      </c>
      <c r="G5397" s="14"/>
    </row>
    <row r="5398" spans="2:7" ht="11.25" outlineLevel="7" x14ac:dyDescent="0.2">
      <c r="B5398" s="14" t="s">
        <v>10173</v>
      </c>
      <c r="C5398" s="14" t="s">
        <v>10174</v>
      </c>
      <c r="D5398" s="14">
        <v>1</v>
      </c>
      <c r="E5398" s="15">
        <v>744.26</v>
      </c>
      <c r="F5398" s="16" t="s">
        <v>8</v>
      </c>
      <c r="G5398" s="14"/>
    </row>
    <row r="5399" spans="2:7" ht="11.25" outlineLevel="7" x14ac:dyDescent="0.2">
      <c r="B5399" s="14" t="s">
        <v>10175</v>
      </c>
      <c r="C5399" s="14" t="s">
        <v>10176</v>
      </c>
      <c r="D5399" s="14">
        <v>1</v>
      </c>
      <c r="E5399" s="15">
        <v>791.68</v>
      </c>
      <c r="F5399" s="16" t="s">
        <v>8</v>
      </c>
      <c r="G5399" s="38" t="str">
        <f>HYPERLINK("http://enext.ua/2355233")</f>
        <v>http://enext.ua/2355233</v>
      </c>
    </row>
    <row r="5400" spans="2:7" ht="11.25" outlineLevel="7" x14ac:dyDescent="0.2">
      <c r="B5400" s="14" t="s">
        <v>10177</v>
      </c>
      <c r="C5400" s="14" t="s">
        <v>10178</v>
      </c>
      <c r="D5400" s="14">
        <v>1</v>
      </c>
      <c r="E5400" s="15">
        <v>843.29</v>
      </c>
      <c r="F5400" s="16" t="s">
        <v>8</v>
      </c>
      <c r="G5400" s="38" t="str">
        <f>HYPERLINK("http://enext.ua/2355234")</f>
        <v>http://enext.ua/2355234</v>
      </c>
    </row>
    <row r="5401" spans="2:7" ht="11.25" outlineLevel="7" x14ac:dyDescent="0.2">
      <c r="B5401" s="14" t="s">
        <v>10179</v>
      </c>
      <c r="C5401" s="14" t="s">
        <v>10180</v>
      </c>
      <c r="D5401" s="14">
        <v>1</v>
      </c>
      <c r="E5401" s="15">
        <v>962.46</v>
      </c>
      <c r="F5401" s="16" t="s">
        <v>8</v>
      </c>
      <c r="G5401" s="14"/>
    </row>
    <row r="5402" spans="2:7" ht="11.25" outlineLevel="7" x14ac:dyDescent="0.2">
      <c r="B5402" s="14" t="s">
        <v>10181</v>
      </c>
      <c r="C5402" s="14" t="s">
        <v>10182</v>
      </c>
      <c r="D5402" s="14">
        <v>1</v>
      </c>
      <c r="E5402" s="17">
        <v>1139.45</v>
      </c>
      <c r="F5402" s="16" t="s">
        <v>8</v>
      </c>
      <c r="G5402" s="14"/>
    </row>
    <row r="5403" spans="2:7" ht="11.25" outlineLevel="7" x14ac:dyDescent="0.2">
      <c r="B5403" s="14" t="s">
        <v>10183</v>
      </c>
      <c r="C5403" s="14" t="s">
        <v>10184</v>
      </c>
      <c r="D5403" s="14">
        <v>1</v>
      </c>
      <c r="E5403" s="15">
        <v>606.53</v>
      </c>
      <c r="F5403" s="16" t="s">
        <v>8</v>
      </c>
      <c r="G5403" s="14"/>
    </row>
    <row r="5404" spans="2:7" ht="11.25" outlineLevel="7" x14ac:dyDescent="0.2">
      <c r="B5404" s="14" t="s">
        <v>10185</v>
      </c>
      <c r="C5404" s="14" t="s">
        <v>10186</v>
      </c>
      <c r="D5404" s="14">
        <v>1</v>
      </c>
      <c r="E5404" s="17">
        <v>1295.8</v>
      </c>
      <c r="F5404" s="16" t="s">
        <v>8</v>
      </c>
      <c r="G5404" s="14"/>
    </row>
    <row r="5405" spans="2:7" ht="11.25" outlineLevel="7" x14ac:dyDescent="0.2">
      <c r="B5405" s="14" t="s">
        <v>10187</v>
      </c>
      <c r="C5405" s="14" t="s">
        <v>10188</v>
      </c>
      <c r="D5405" s="14">
        <v>1</v>
      </c>
      <c r="E5405" s="17">
        <v>1887.65</v>
      </c>
      <c r="F5405" s="16" t="s">
        <v>8</v>
      </c>
      <c r="G5405" s="14"/>
    </row>
    <row r="5406" spans="2:7" ht="12" outlineLevel="6" x14ac:dyDescent="0.2">
      <c r="B5406" s="18"/>
      <c r="C5406" s="39" t="s">
        <v>10189</v>
      </c>
      <c r="D5406" s="18"/>
      <c r="E5406" s="19"/>
      <c r="F5406" s="19"/>
      <c r="G5406" s="18"/>
    </row>
    <row r="5407" spans="2:7" ht="11.25" outlineLevel="7" x14ac:dyDescent="0.2">
      <c r="B5407" s="14" t="s">
        <v>10190</v>
      </c>
      <c r="C5407" s="14" t="s">
        <v>10191</v>
      </c>
      <c r="D5407" s="14">
        <v>1</v>
      </c>
      <c r="E5407" s="15">
        <v>734.9</v>
      </c>
      <c r="F5407" s="16" t="s">
        <v>8</v>
      </c>
      <c r="G5407" s="14"/>
    </row>
    <row r="5408" spans="2:7" ht="11.25" outlineLevel="7" x14ac:dyDescent="0.2">
      <c r="B5408" s="14" t="s">
        <v>10192</v>
      </c>
      <c r="C5408" s="14" t="s">
        <v>10193</v>
      </c>
      <c r="D5408" s="14">
        <v>1</v>
      </c>
      <c r="E5408" s="15">
        <v>843.94</v>
      </c>
      <c r="F5408" s="16" t="s">
        <v>8</v>
      </c>
      <c r="G5408" s="14"/>
    </row>
    <row r="5409" spans="2:7" ht="11.25" outlineLevel="7" x14ac:dyDescent="0.2">
      <c r="B5409" s="14" t="s">
        <v>10194</v>
      </c>
      <c r="C5409" s="14" t="s">
        <v>10195</v>
      </c>
      <c r="D5409" s="14">
        <v>1</v>
      </c>
      <c r="E5409" s="15">
        <v>882.54</v>
      </c>
      <c r="F5409" s="16" t="s">
        <v>8</v>
      </c>
      <c r="G5409" s="14"/>
    </row>
    <row r="5410" spans="2:7" ht="11.25" outlineLevel="7" x14ac:dyDescent="0.2">
      <c r="B5410" s="14" t="s">
        <v>10196</v>
      </c>
      <c r="C5410" s="14" t="s">
        <v>10197</v>
      </c>
      <c r="D5410" s="14">
        <v>1</v>
      </c>
      <c r="E5410" s="15">
        <v>902.52</v>
      </c>
      <c r="F5410" s="16" t="s">
        <v>8</v>
      </c>
      <c r="G5410" s="14"/>
    </row>
    <row r="5411" spans="2:7" ht="11.25" outlineLevel="7" x14ac:dyDescent="0.2">
      <c r="B5411" s="14" t="s">
        <v>10198</v>
      </c>
      <c r="C5411" s="14" t="s">
        <v>10199</v>
      </c>
      <c r="D5411" s="14">
        <v>1</v>
      </c>
      <c r="E5411" s="17">
        <v>1145.78</v>
      </c>
      <c r="F5411" s="16" t="s">
        <v>8</v>
      </c>
      <c r="G5411" s="14"/>
    </row>
    <row r="5412" spans="2:7" ht="11.25" outlineLevel="7" x14ac:dyDescent="0.2">
      <c r="B5412" s="14" t="s">
        <v>10200</v>
      </c>
      <c r="C5412" s="14" t="s">
        <v>10201</v>
      </c>
      <c r="D5412" s="14">
        <v>1</v>
      </c>
      <c r="E5412" s="17">
        <v>1291.9000000000001</v>
      </c>
      <c r="F5412" s="16" t="s">
        <v>8</v>
      </c>
      <c r="G5412" s="14"/>
    </row>
    <row r="5413" spans="2:7" ht="11.25" outlineLevel="7" x14ac:dyDescent="0.2">
      <c r="B5413" s="14" t="s">
        <v>10202</v>
      </c>
      <c r="C5413" s="14" t="s">
        <v>10203</v>
      </c>
      <c r="D5413" s="14">
        <v>1</v>
      </c>
      <c r="E5413" s="17">
        <v>1469.17</v>
      </c>
      <c r="F5413" s="16" t="s">
        <v>8</v>
      </c>
      <c r="G5413" s="14"/>
    </row>
    <row r="5414" spans="2:7" ht="11.25" outlineLevel="7" x14ac:dyDescent="0.2">
      <c r="B5414" s="14" t="s">
        <v>10204</v>
      </c>
      <c r="C5414" s="14" t="s">
        <v>10205</v>
      </c>
      <c r="D5414" s="14">
        <v>1</v>
      </c>
      <c r="E5414" s="17">
        <v>2019.22</v>
      </c>
      <c r="F5414" s="16" t="s">
        <v>8</v>
      </c>
      <c r="G5414" s="14"/>
    </row>
    <row r="5415" spans="2:7" ht="11.25" outlineLevel="7" x14ac:dyDescent="0.2">
      <c r="B5415" s="14" t="s">
        <v>10206</v>
      </c>
      <c r="C5415" s="14" t="s">
        <v>10207</v>
      </c>
      <c r="D5415" s="14">
        <v>1</v>
      </c>
      <c r="E5415" s="15">
        <v>691.01</v>
      </c>
      <c r="F5415" s="16" t="s">
        <v>8</v>
      </c>
      <c r="G5415" s="14"/>
    </row>
    <row r="5416" spans="2:7" ht="12" outlineLevel="6" x14ac:dyDescent="0.2">
      <c r="B5416" s="18"/>
      <c r="C5416" s="39" t="s">
        <v>10208</v>
      </c>
      <c r="D5416" s="18"/>
      <c r="E5416" s="19"/>
      <c r="F5416" s="19"/>
      <c r="G5416" s="18"/>
    </row>
    <row r="5417" spans="2:7" ht="11.25" outlineLevel="7" x14ac:dyDescent="0.2">
      <c r="B5417" s="14" t="s">
        <v>10209</v>
      </c>
      <c r="C5417" s="14" t="s">
        <v>10210</v>
      </c>
      <c r="D5417" s="14">
        <v>1</v>
      </c>
      <c r="E5417" s="15">
        <v>783.23</v>
      </c>
      <c r="F5417" s="16" t="s">
        <v>8</v>
      </c>
      <c r="G5417" s="14"/>
    </row>
    <row r="5418" spans="2:7" ht="11.25" outlineLevel="7" x14ac:dyDescent="0.2">
      <c r="B5418" s="14" t="s">
        <v>10211</v>
      </c>
      <c r="C5418" s="14" t="s">
        <v>10212</v>
      </c>
      <c r="D5418" s="14">
        <v>1</v>
      </c>
      <c r="E5418" s="15">
        <v>917.8</v>
      </c>
      <c r="F5418" s="16" t="s">
        <v>8</v>
      </c>
      <c r="G5418" s="14"/>
    </row>
    <row r="5419" spans="2:7" ht="11.25" outlineLevel="7" x14ac:dyDescent="0.2">
      <c r="B5419" s="14" t="s">
        <v>10213</v>
      </c>
      <c r="C5419" s="14" t="s">
        <v>10214</v>
      </c>
      <c r="D5419" s="14">
        <v>1</v>
      </c>
      <c r="E5419" s="15">
        <v>972.61</v>
      </c>
      <c r="F5419" s="16" t="s">
        <v>8</v>
      </c>
      <c r="G5419" s="14"/>
    </row>
    <row r="5420" spans="2:7" ht="11.25" outlineLevel="7" x14ac:dyDescent="0.2">
      <c r="B5420" s="14" t="s">
        <v>10215</v>
      </c>
      <c r="C5420" s="14" t="s">
        <v>10216</v>
      </c>
      <c r="D5420" s="14">
        <v>1</v>
      </c>
      <c r="E5420" s="15">
        <v>956.11</v>
      </c>
      <c r="F5420" s="16" t="s">
        <v>8</v>
      </c>
      <c r="G5420" s="14"/>
    </row>
    <row r="5421" spans="2:7" ht="11.25" outlineLevel="7" x14ac:dyDescent="0.2">
      <c r="B5421" s="14" t="s">
        <v>10217</v>
      </c>
      <c r="C5421" s="14" t="s">
        <v>10218</v>
      </c>
      <c r="D5421" s="14">
        <v>1</v>
      </c>
      <c r="E5421" s="17">
        <v>1188.4000000000001</v>
      </c>
      <c r="F5421" s="16" t="s">
        <v>8</v>
      </c>
      <c r="G5421" s="14"/>
    </row>
    <row r="5422" spans="2:7" ht="11.25" outlineLevel="7" x14ac:dyDescent="0.2">
      <c r="B5422" s="14" t="s">
        <v>10219</v>
      </c>
      <c r="C5422" s="14" t="s">
        <v>10220</v>
      </c>
      <c r="D5422" s="14">
        <v>1</v>
      </c>
      <c r="E5422" s="17">
        <v>1349.71</v>
      </c>
      <c r="F5422" s="16" t="s">
        <v>8</v>
      </c>
      <c r="G5422" s="14"/>
    </row>
    <row r="5423" spans="2:7" ht="11.25" outlineLevel="7" x14ac:dyDescent="0.2">
      <c r="B5423" s="14" t="s">
        <v>10221</v>
      </c>
      <c r="C5423" s="14" t="s">
        <v>10222</v>
      </c>
      <c r="D5423" s="14">
        <v>1</v>
      </c>
      <c r="E5423" s="17">
        <v>1602.91</v>
      </c>
      <c r="F5423" s="16" t="s">
        <v>8</v>
      </c>
      <c r="G5423" s="14"/>
    </row>
    <row r="5424" spans="2:7" ht="11.25" outlineLevel="7" x14ac:dyDescent="0.2">
      <c r="B5424" s="14" t="s">
        <v>10223</v>
      </c>
      <c r="C5424" s="14" t="s">
        <v>10224</v>
      </c>
      <c r="D5424" s="14">
        <v>1</v>
      </c>
      <c r="E5424" s="17">
        <v>2118.8000000000002</v>
      </c>
      <c r="F5424" s="16" t="s">
        <v>8</v>
      </c>
      <c r="G5424" s="14"/>
    </row>
    <row r="5425" spans="2:7" ht="12" outlineLevel="6" x14ac:dyDescent="0.2">
      <c r="B5425" s="18"/>
      <c r="C5425" s="39" t="s">
        <v>10225</v>
      </c>
      <c r="D5425" s="18"/>
      <c r="E5425" s="19"/>
      <c r="F5425" s="19"/>
      <c r="G5425" s="18"/>
    </row>
    <row r="5426" spans="2:7" ht="11.25" outlineLevel="7" x14ac:dyDescent="0.2">
      <c r="B5426" s="14" t="s">
        <v>10226</v>
      </c>
      <c r="C5426" s="14" t="s">
        <v>10227</v>
      </c>
      <c r="D5426" s="14">
        <v>1</v>
      </c>
      <c r="E5426" s="15">
        <v>64.33</v>
      </c>
      <c r="F5426" s="16" t="s">
        <v>8</v>
      </c>
      <c r="G5426" s="14"/>
    </row>
    <row r="5427" spans="2:7" ht="11.25" outlineLevel="7" x14ac:dyDescent="0.2">
      <c r="B5427" s="14" t="s">
        <v>10228</v>
      </c>
      <c r="C5427" s="14" t="s">
        <v>10229</v>
      </c>
      <c r="D5427" s="14">
        <v>1</v>
      </c>
      <c r="E5427" s="15">
        <v>92.29</v>
      </c>
      <c r="F5427" s="16" t="s">
        <v>8</v>
      </c>
      <c r="G5427" s="14"/>
    </row>
    <row r="5428" spans="2:7" ht="11.25" outlineLevel="7" x14ac:dyDescent="0.2">
      <c r="B5428" s="14" t="s">
        <v>10230</v>
      </c>
      <c r="C5428" s="14" t="s">
        <v>10231</v>
      </c>
      <c r="D5428" s="14">
        <v>1</v>
      </c>
      <c r="E5428" s="15">
        <v>123.56</v>
      </c>
      <c r="F5428" s="16" t="s">
        <v>8</v>
      </c>
      <c r="G5428" s="14"/>
    </row>
    <row r="5429" spans="2:7" ht="11.25" outlineLevel="7" x14ac:dyDescent="0.2">
      <c r="B5429" s="14" t="s">
        <v>10232</v>
      </c>
      <c r="C5429" s="14" t="s">
        <v>10233</v>
      </c>
      <c r="D5429" s="14">
        <v>1</v>
      </c>
      <c r="E5429" s="15">
        <v>126.64</v>
      </c>
      <c r="F5429" s="16" t="s">
        <v>8</v>
      </c>
      <c r="G5429" s="14"/>
    </row>
    <row r="5430" spans="2:7" ht="11.25" outlineLevel="7" x14ac:dyDescent="0.2">
      <c r="B5430" s="14" t="s">
        <v>10234</v>
      </c>
      <c r="C5430" s="14" t="s">
        <v>10235</v>
      </c>
      <c r="D5430" s="14">
        <v>1</v>
      </c>
      <c r="E5430" s="15">
        <v>204.1</v>
      </c>
      <c r="F5430" s="16" t="s">
        <v>8</v>
      </c>
      <c r="G5430" s="14"/>
    </row>
    <row r="5431" spans="2:7" ht="11.25" outlineLevel="7" x14ac:dyDescent="0.2">
      <c r="B5431" s="14" t="s">
        <v>10236</v>
      </c>
      <c r="C5431" s="14" t="s">
        <v>10237</v>
      </c>
      <c r="D5431" s="14">
        <v>1</v>
      </c>
      <c r="E5431" s="15">
        <v>307.87</v>
      </c>
      <c r="F5431" s="16" t="s">
        <v>8</v>
      </c>
      <c r="G5431" s="14"/>
    </row>
    <row r="5432" spans="2:7" ht="11.25" outlineLevel="7" x14ac:dyDescent="0.2">
      <c r="B5432" s="14" t="s">
        <v>10238</v>
      </c>
      <c r="C5432" s="14" t="s">
        <v>10239</v>
      </c>
      <c r="D5432" s="14">
        <v>1</v>
      </c>
      <c r="E5432" s="15">
        <v>45.35</v>
      </c>
      <c r="F5432" s="16" t="s">
        <v>8</v>
      </c>
      <c r="G5432" s="14"/>
    </row>
    <row r="5433" spans="2:7" ht="11.25" outlineLevel="7" x14ac:dyDescent="0.2">
      <c r="B5433" s="14" t="s">
        <v>10240</v>
      </c>
      <c r="C5433" s="14" t="s">
        <v>10241</v>
      </c>
      <c r="D5433" s="14">
        <v>1</v>
      </c>
      <c r="E5433" s="15">
        <v>431.4</v>
      </c>
      <c r="F5433" s="16" t="s">
        <v>8</v>
      </c>
      <c r="G5433" s="14"/>
    </row>
    <row r="5434" spans="2:7" ht="11.25" outlineLevel="7" x14ac:dyDescent="0.2">
      <c r="B5434" s="14" t="s">
        <v>10242</v>
      </c>
      <c r="C5434" s="14" t="s">
        <v>10243</v>
      </c>
      <c r="D5434" s="14">
        <v>1</v>
      </c>
      <c r="E5434" s="15">
        <v>571.46</v>
      </c>
      <c r="F5434" s="16" t="s">
        <v>8</v>
      </c>
      <c r="G5434" s="14"/>
    </row>
    <row r="5435" spans="2:7" ht="11.25" outlineLevel="7" x14ac:dyDescent="0.2">
      <c r="B5435" s="14" t="s">
        <v>10244</v>
      </c>
      <c r="C5435" s="14" t="s">
        <v>10245</v>
      </c>
      <c r="D5435" s="14">
        <v>1</v>
      </c>
      <c r="E5435" s="15">
        <v>56.39</v>
      </c>
      <c r="F5435" s="16" t="s">
        <v>8</v>
      </c>
      <c r="G5435" s="14"/>
    </row>
    <row r="5436" spans="2:7" ht="12" outlineLevel="5" x14ac:dyDescent="0.2">
      <c r="B5436" s="18"/>
      <c r="C5436" s="39" t="s">
        <v>10246</v>
      </c>
      <c r="D5436" s="18"/>
      <c r="E5436" s="19"/>
      <c r="F5436" s="19"/>
      <c r="G5436" s="18"/>
    </row>
    <row r="5437" spans="2:7" ht="11.25" outlineLevel="6" x14ac:dyDescent="0.2">
      <c r="B5437" s="14" t="s">
        <v>10247</v>
      </c>
      <c r="C5437" s="14" t="s">
        <v>10248</v>
      </c>
      <c r="D5437" s="14">
        <v>1</v>
      </c>
      <c r="E5437" s="15">
        <v>33.5</v>
      </c>
      <c r="F5437" s="16" t="s">
        <v>8</v>
      </c>
      <c r="G5437" s="14"/>
    </row>
    <row r="5438" spans="2:7" ht="11.25" outlineLevel="6" x14ac:dyDescent="0.2">
      <c r="B5438" s="14" t="s">
        <v>10249</v>
      </c>
      <c r="C5438" s="14" t="s">
        <v>10250</v>
      </c>
      <c r="D5438" s="14">
        <v>1</v>
      </c>
      <c r="E5438" s="15">
        <v>10.98</v>
      </c>
      <c r="F5438" s="16" t="s">
        <v>8</v>
      </c>
      <c r="G5438" s="14"/>
    </row>
    <row r="5439" spans="2:7" ht="11.25" outlineLevel="6" x14ac:dyDescent="0.2">
      <c r="B5439" s="14" t="s">
        <v>10251</v>
      </c>
      <c r="C5439" s="14" t="s">
        <v>10252</v>
      </c>
      <c r="D5439" s="14">
        <v>1</v>
      </c>
      <c r="E5439" s="15">
        <v>27.85</v>
      </c>
      <c r="F5439" s="16" t="s">
        <v>8</v>
      </c>
      <c r="G5439" s="38" t="str">
        <f>HYPERLINK("http://enext.ua/2530250")</f>
        <v>http://enext.ua/2530250</v>
      </c>
    </row>
    <row r="5440" spans="2:7" ht="11.25" outlineLevel="6" x14ac:dyDescent="0.2">
      <c r="B5440" s="14" t="s">
        <v>10253</v>
      </c>
      <c r="C5440" s="14" t="s">
        <v>10254</v>
      </c>
      <c r="D5440" s="14">
        <v>1</v>
      </c>
      <c r="E5440" s="15">
        <v>30.22</v>
      </c>
      <c r="F5440" s="16" t="s">
        <v>8</v>
      </c>
      <c r="G5440" s="38" t="str">
        <f>HYPERLINK("http://enext.ua/2530350")</f>
        <v>http://enext.ua/2530350</v>
      </c>
    </row>
    <row r="5441" spans="2:7" ht="12" outlineLevel="5" x14ac:dyDescent="0.2">
      <c r="B5441" s="18"/>
      <c r="C5441" s="39" t="s">
        <v>10255</v>
      </c>
      <c r="D5441" s="18"/>
      <c r="E5441" s="19"/>
      <c r="F5441" s="19"/>
      <c r="G5441" s="18"/>
    </row>
    <row r="5442" spans="2:7" ht="11.25" outlineLevel="6" x14ac:dyDescent="0.2">
      <c r="B5442" s="14" t="s">
        <v>10256</v>
      </c>
      <c r="C5442" s="14" t="s">
        <v>10257</v>
      </c>
      <c r="D5442" s="14">
        <v>1</v>
      </c>
      <c r="E5442" s="15">
        <v>14.14</v>
      </c>
      <c r="F5442" s="16" t="s">
        <v>8</v>
      </c>
      <c r="G5442" s="38" t="str">
        <f>HYPERLINK("http://enext.ua/2510440")</f>
        <v>http://enext.ua/2510440</v>
      </c>
    </row>
    <row r="5443" spans="2:7" ht="11.25" outlineLevel="6" x14ac:dyDescent="0.2">
      <c r="B5443" s="14" t="s">
        <v>10258</v>
      </c>
      <c r="C5443" s="14" t="s">
        <v>10259</v>
      </c>
      <c r="D5443" s="14">
        <v>1</v>
      </c>
      <c r="E5443" s="15">
        <v>7.58</v>
      </c>
      <c r="F5443" s="16" t="s">
        <v>8</v>
      </c>
      <c r="G5443" s="38" t="str">
        <f>HYPERLINK("http://enext.ua/2510140")</f>
        <v>http://enext.ua/2510140</v>
      </c>
    </row>
    <row r="5444" spans="2:7" ht="11.25" outlineLevel="6" x14ac:dyDescent="0.2">
      <c r="B5444" s="14" t="s">
        <v>10260</v>
      </c>
      <c r="C5444" s="14" t="s">
        <v>10261</v>
      </c>
      <c r="D5444" s="14">
        <v>1</v>
      </c>
      <c r="E5444" s="15">
        <v>9.0399999999999991</v>
      </c>
      <c r="F5444" s="16" t="s">
        <v>8</v>
      </c>
      <c r="G5444" s="38" t="str">
        <f>HYPERLINK("http://enext.ua/2510240")</f>
        <v>http://enext.ua/2510240</v>
      </c>
    </row>
    <row r="5445" spans="2:7" ht="11.25" outlineLevel="6" x14ac:dyDescent="0.2">
      <c r="B5445" s="14" t="s">
        <v>10262</v>
      </c>
      <c r="C5445" s="14" t="s">
        <v>10263</v>
      </c>
      <c r="D5445" s="14">
        <v>1</v>
      </c>
      <c r="E5445" s="15">
        <v>12.07</v>
      </c>
      <c r="F5445" s="16" t="s">
        <v>8</v>
      </c>
      <c r="G5445" s="38" t="str">
        <f>HYPERLINK("http://enext.ua/2510340")</f>
        <v>http://enext.ua/2510340</v>
      </c>
    </row>
    <row r="5446" spans="2:7" ht="11.25" outlineLevel="6" x14ac:dyDescent="0.2">
      <c r="B5446" s="14" t="s">
        <v>10264</v>
      </c>
      <c r="C5446" s="14" t="s">
        <v>10265</v>
      </c>
      <c r="D5446" s="14">
        <v>1</v>
      </c>
      <c r="E5446" s="15">
        <v>17.68</v>
      </c>
      <c r="F5446" s="16" t="s">
        <v>8</v>
      </c>
      <c r="G5446" s="14"/>
    </row>
    <row r="5447" spans="2:7" ht="11.25" outlineLevel="6" x14ac:dyDescent="0.2">
      <c r="B5447" s="14" t="s">
        <v>10266</v>
      </c>
      <c r="C5447" s="14" t="s">
        <v>10267</v>
      </c>
      <c r="D5447" s="14">
        <v>1</v>
      </c>
      <c r="E5447" s="15">
        <v>11.32</v>
      </c>
      <c r="F5447" s="16" t="s">
        <v>8</v>
      </c>
      <c r="G5447" s="14"/>
    </row>
    <row r="5448" spans="2:7" ht="11.25" outlineLevel="6" x14ac:dyDescent="0.2">
      <c r="B5448" s="14" t="s">
        <v>10268</v>
      </c>
      <c r="C5448" s="14" t="s">
        <v>10269</v>
      </c>
      <c r="D5448" s="14">
        <v>1</v>
      </c>
      <c r="E5448" s="15">
        <v>15.11</v>
      </c>
      <c r="F5448" s="16" t="s">
        <v>8</v>
      </c>
      <c r="G5448" s="14"/>
    </row>
    <row r="5449" spans="2:7" ht="12" outlineLevel="5" x14ac:dyDescent="0.2">
      <c r="B5449" s="18"/>
      <c r="C5449" s="39" t="s">
        <v>10270</v>
      </c>
      <c r="D5449" s="18"/>
      <c r="E5449" s="19"/>
      <c r="F5449" s="19"/>
      <c r="G5449" s="18"/>
    </row>
    <row r="5450" spans="2:7" ht="11.25" outlineLevel="6" x14ac:dyDescent="0.2">
      <c r="B5450" s="14" t="s">
        <v>10271</v>
      </c>
      <c r="C5450" s="14" t="s">
        <v>10272</v>
      </c>
      <c r="D5450" s="14">
        <v>1</v>
      </c>
      <c r="E5450" s="15">
        <v>33.11</v>
      </c>
      <c r="F5450" s="16" t="s">
        <v>8</v>
      </c>
      <c r="G5450" s="14"/>
    </row>
    <row r="5451" spans="2:7" ht="11.25" outlineLevel="6" x14ac:dyDescent="0.2">
      <c r="B5451" s="14" t="s">
        <v>10273</v>
      </c>
      <c r="C5451" s="14" t="s">
        <v>10274</v>
      </c>
      <c r="D5451" s="14">
        <v>1</v>
      </c>
      <c r="E5451" s="15">
        <v>35.56</v>
      </c>
      <c r="F5451" s="16" t="s">
        <v>8</v>
      </c>
      <c r="G5451" s="38" t="str">
        <f>HYPERLINK("http://enext.ua/2544040")</f>
        <v>http://enext.ua/2544040</v>
      </c>
    </row>
    <row r="5452" spans="2:7" ht="11.25" outlineLevel="6" x14ac:dyDescent="0.2">
      <c r="B5452" s="14" t="s">
        <v>10275</v>
      </c>
      <c r="C5452" s="14" t="s">
        <v>10276</v>
      </c>
      <c r="D5452" s="14">
        <v>1</v>
      </c>
      <c r="E5452" s="15">
        <v>40.799999999999997</v>
      </c>
      <c r="F5452" s="16" t="s">
        <v>8</v>
      </c>
      <c r="G5452" s="14"/>
    </row>
    <row r="5453" spans="2:7" ht="11.25" outlineLevel="6" x14ac:dyDescent="0.2">
      <c r="B5453" s="14" t="s">
        <v>10277</v>
      </c>
      <c r="C5453" s="14" t="s">
        <v>10278</v>
      </c>
      <c r="D5453" s="14">
        <v>1</v>
      </c>
      <c r="E5453" s="15">
        <v>46.55</v>
      </c>
      <c r="F5453" s="16" t="s">
        <v>8</v>
      </c>
      <c r="G5453" s="38" t="str">
        <f>HYPERLINK("http://enext.ua/2546040")</f>
        <v>http://enext.ua/2546040</v>
      </c>
    </row>
    <row r="5454" spans="2:7" ht="11.25" outlineLevel="6" x14ac:dyDescent="0.2">
      <c r="B5454" s="14" t="s">
        <v>10279</v>
      </c>
      <c r="C5454" s="14" t="s">
        <v>10280</v>
      </c>
      <c r="D5454" s="14">
        <v>1</v>
      </c>
      <c r="E5454" s="15">
        <v>31.78</v>
      </c>
      <c r="F5454" s="16" t="s">
        <v>8</v>
      </c>
      <c r="G5454" s="14"/>
    </row>
    <row r="5455" spans="2:7" ht="11.25" outlineLevel="6" x14ac:dyDescent="0.2">
      <c r="B5455" s="14" t="s">
        <v>10281</v>
      </c>
      <c r="C5455" s="14" t="s">
        <v>10282</v>
      </c>
      <c r="D5455" s="14">
        <v>1</v>
      </c>
      <c r="E5455" s="15">
        <v>57.96</v>
      </c>
      <c r="F5455" s="16" t="s">
        <v>8</v>
      </c>
      <c r="G5455" s="14"/>
    </row>
    <row r="5456" spans="2:7" ht="11.25" outlineLevel="6" x14ac:dyDescent="0.2">
      <c r="B5456" s="14" t="s">
        <v>10283</v>
      </c>
      <c r="C5456" s="14" t="s">
        <v>10284</v>
      </c>
      <c r="D5456" s="14">
        <v>1</v>
      </c>
      <c r="E5456" s="15">
        <v>32.229999999999997</v>
      </c>
      <c r="F5456" s="16" t="s">
        <v>8</v>
      </c>
      <c r="G5456" s="14"/>
    </row>
    <row r="5457" spans="2:7" ht="12" outlineLevel="5" x14ac:dyDescent="0.2">
      <c r="B5457" s="18"/>
      <c r="C5457" s="39" t="s">
        <v>10285</v>
      </c>
      <c r="D5457" s="18"/>
      <c r="E5457" s="19"/>
      <c r="F5457" s="19"/>
      <c r="G5457" s="18"/>
    </row>
    <row r="5458" spans="2:7" ht="12" outlineLevel="6" x14ac:dyDescent="0.2">
      <c r="B5458" s="18"/>
      <c r="C5458" s="39" t="s">
        <v>10286</v>
      </c>
      <c r="D5458" s="18"/>
      <c r="E5458" s="19"/>
      <c r="F5458" s="19"/>
      <c r="G5458" s="18"/>
    </row>
    <row r="5459" spans="2:7" ht="11.25" outlineLevel="7" x14ac:dyDescent="0.2">
      <c r="B5459" s="14" t="s">
        <v>10287</v>
      </c>
      <c r="C5459" s="14" t="s">
        <v>10288</v>
      </c>
      <c r="D5459" s="14">
        <v>1</v>
      </c>
      <c r="E5459" s="15">
        <v>27.58</v>
      </c>
      <c r="F5459" s="16" t="s">
        <v>8</v>
      </c>
      <c r="G5459" s="14"/>
    </row>
    <row r="5460" spans="2:7" ht="11.25" outlineLevel="7" x14ac:dyDescent="0.2">
      <c r="B5460" s="14" t="s">
        <v>10289</v>
      </c>
      <c r="C5460" s="14" t="s">
        <v>10290</v>
      </c>
      <c r="D5460" s="14">
        <v>1</v>
      </c>
      <c r="E5460" s="15">
        <v>31.57</v>
      </c>
      <c r="F5460" s="16" t="s">
        <v>8</v>
      </c>
      <c r="G5460" s="14"/>
    </row>
    <row r="5461" spans="2:7" ht="11.25" outlineLevel="7" x14ac:dyDescent="0.2">
      <c r="B5461" s="14" t="s">
        <v>10291</v>
      </c>
      <c r="C5461" s="14" t="s">
        <v>10292</v>
      </c>
      <c r="D5461" s="14">
        <v>1</v>
      </c>
      <c r="E5461" s="15">
        <v>34.61</v>
      </c>
      <c r="F5461" s="16" t="s">
        <v>8</v>
      </c>
      <c r="G5461" s="14"/>
    </row>
    <row r="5462" spans="2:7" ht="11.25" outlineLevel="7" x14ac:dyDescent="0.2">
      <c r="B5462" s="14" t="s">
        <v>10293</v>
      </c>
      <c r="C5462" s="14" t="s">
        <v>10294</v>
      </c>
      <c r="D5462" s="14">
        <v>1</v>
      </c>
      <c r="E5462" s="15">
        <v>38.21</v>
      </c>
      <c r="F5462" s="16" t="s">
        <v>8</v>
      </c>
      <c r="G5462" s="14"/>
    </row>
    <row r="5463" spans="2:7" ht="11.25" outlineLevel="7" x14ac:dyDescent="0.2">
      <c r="B5463" s="14" t="s">
        <v>10295</v>
      </c>
      <c r="C5463" s="14" t="s">
        <v>10296</v>
      </c>
      <c r="D5463" s="14">
        <v>1</v>
      </c>
      <c r="E5463" s="15">
        <v>47.86</v>
      </c>
      <c r="F5463" s="16" t="s">
        <v>8</v>
      </c>
      <c r="G5463" s="14"/>
    </row>
    <row r="5464" spans="2:7" ht="11.25" outlineLevel="7" x14ac:dyDescent="0.2">
      <c r="B5464" s="14" t="s">
        <v>10297</v>
      </c>
      <c r="C5464" s="14" t="s">
        <v>10298</v>
      </c>
      <c r="D5464" s="14">
        <v>1</v>
      </c>
      <c r="E5464" s="15">
        <v>58.19</v>
      </c>
      <c r="F5464" s="16" t="s">
        <v>8</v>
      </c>
      <c r="G5464" s="14"/>
    </row>
    <row r="5465" spans="2:7" ht="11.25" outlineLevel="7" x14ac:dyDescent="0.2">
      <c r="B5465" s="14" t="s">
        <v>10299</v>
      </c>
      <c r="C5465" s="14" t="s">
        <v>10300</v>
      </c>
      <c r="D5465" s="14">
        <v>1</v>
      </c>
      <c r="E5465" s="15">
        <v>60.25</v>
      </c>
      <c r="F5465" s="16" t="s">
        <v>8</v>
      </c>
      <c r="G5465" s="14"/>
    </row>
    <row r="5466" spans="2:7" ht="11.25" outlineLevel="7" x14ac:dyDescent="0.2">
      <c r="B5466" s="14" t="s">
        <v>10301</v>
      </c>
      <c r="C5466" s="14" t="s">
        <v>10302</v>
      </c>
      <c r="D5466" s="14">
        <v>1</v>
      </c>
      <c r="E5466" s="15">
        <v>64.45</v>
      </c>
      <c r="F5466" s="16" t="s">
        <v>8</v>
      </c>
      <c r="G5466" s="14"/>
    </row>
    <row r="5467" spans="2:7" ht="11.25" outlineLevel="7" x14ac:dyDescent="0.2">
      <c r="B5467" s="14" t="s">
        <v>10303</v>
      </c>
      <c r="C5467" s="14" t="s">
        <v>10304</v>
      </c>
      <c r="D5467" s="14">
        <v>1</v>
      </c>
      <c r="E5467" s="15">
        <v>20.41</v>
      </c>
      <c r="F5467" s="16" t="s">
        <v>8</v>
      </c>
      <c r="G5467" s="14"/>
    </row>
    <row r="5468" spans="2:7" ht="11.25" outlineLevel="7" x14ac:dyDescent="0.2">
      <c r="B5468" s="14" t="s">
        <v>10305</v>
      </c>
      <c r="C5468" s="14" t="s">
        <v>10306</v>
      </c>
      <c r="D5468" s="14">
        <v>1</v>
      </c>
      <c r="E5468" s="15">
        <v>20.59</v>
      </c>
      <c r="F5468" s="16" t="s">
        <v>8</v>
      </c>
      <c r="G5468" s="14"/>
    </row>
    <row r="5469" spans="2:7" ht="11.25" outlineLevel="7" x14ac:dyDescent="0.2">
      <c r="B5469" s="14" t="s">
        <v>10307</v>
      </c>
      <c r="C5469" s="14" t="s">
        <v>10308</v>
      </c>
      <c r="D5469" s="14">
        <v>1</v>
      </c>
      <c r="E5469" s="15">
        <v>20.95</v>
      </c>
      <c r="F5469" s="16" t="s">
        <v>8</v>
      </c>
      <c r="G5469" s="14"/>
    </row>
    <row r="5470" spans="2:7" ht="11.25" outlineLevel="7" x14ac:dyDescent="0.2">
      <c r="B5470" s="14" t="s">
        <v>10309</v>
      </c>
      <c r="C5470" s="14" t="s">
        <v>10310</v>
      </c>
      <c r="D5470" s="14">
        <v>1</v>
      </c>
      <c r="E5470" s="15">
        <v>21.67</v>
      </c>
      <c r="F5470" s="16" t="s">
        <v>8</v>
      </c>
      <c r="G5470" s="14"/>
    </row>
    <row r="5471" spans="2:7" ht="11.25" outlineLevel="7" x14ac:dyDescent="0.2">
      <c r="B5471" s="14" t="s">
        <v>10311</v>
      </c>
      <c r="C5471" s="14" t="s">
        <v>10312</v>
      </c>
      <c r="D5471" s="14">
        <v>1</v>
      </c>
      <c r="E5471" s="15">
        <v>23.24</v>
      </c>
      <c r="F5471" s="16" t="s">
        <v>8</v>
      </c>
      <c r="G5471" s="14"/>
    </row>
    <row r="5472" spans="2:7" ht="12" outlineLevel="6" x14ac:dyDescent="0.2">
      <c r="B5472" s="18"/>
      <c r="C5472" s="39" t="s">
        <v>10313</v>
      </c>
      <c r="D5472" s="18"/>
      <c r="E5472" s="19"/>
      <c r="F5472" s="19"/>
      <c r="G5472" s="18"/>
    </row>
    <row r="5473" spans="2:7" ht="11.25" outlineLevel="7" x14ac:dyDescent="0.2">
      <c r="B5473" s="14" t="s">
        <v>10314</v>
      </c>
      <c r="C5473" s="14" t="s">
        <v>10315</v>
      </c>
      <c r="D5473" s="14">
        <v>1</v>
      </c>
      <c r="E5473" s="15">
        <v>28.32</v>
      </c>
      <c r="F5473" s="16" t="s">
        <v>8</v>
      </c>
      <c r="G5473" s="38" t="str">
        <f>HYPERLINK("http://enext.ua/2410642")</f>
        <v>http://enext.ua/2410642</v>
      </c>
    </row>
    <row r="5474" spans="2:7" ht="11.25" outlineLevel="7" x14ac:dyDescent="0.2">
      <c r="B5474" s="14" t="s">
        <v>10316</v>
      </c>
      <c r="C5474" s="14" t="s">
        <v>10317</v>
      </c>
      <c r="D5474" s="14">
        <v>1</v>
      </c>
      <c r="E5474" s="15">
        <v>39.229999999999997</v>
      </c>
      <c r="F5474" s="16" t="s">
        <v>8</v>
      </c>
      <c r="G5474" s="14"/>
    </row>
    <row r="5475" spans="2:7" ht="11.25" outlineLevel="7" x14ac:dyDescent="0.2">
      <c r="B5475" s="14" t="s">
        <v>10318</v>
      </c>
      <c r="C5475" s="14" t="s">
        <v>10319</v>
      </c>
      <c r="D5475" s="14">
        <v>1</v>
      </c>
      <c r="E5475" s="15">
        <v>48.74</v>
      </c>
      <c r="F5475" s="16" t="s">
        <v>8</v>
      </c>
      <c r="G5475" s="14"/>
    </row>
    <row r="5476" spans="2:7" ht="11.25" outlineLevel="7" x14ac:dyDescent="0.2">
      <c r="B5476" s="14" t="s">
        <v>10320</v>
      </c>
      <c r="C5476" s="14" t="s">
        <v>10321</v>
      </c>
      <c r="D5476" s="14">
        <v>1</v>
      </c>
      <c r="E5476" s="15">
        <v>52.56</v>
      </c>
      <c r="F5476" s="16" t="s">
        <v>8</v>
      </c>
      <c r="G5476" s="14"/>
    </row>
    <row r="5477" spans="2:7" ht="11.25" outlineLevel="7" x14ac:dyDescent="0.2">
      <c r="B5477" s="14" t="s">
        <v>10322</v>
      </c>
      <c r="C5477" s="14" t="s">
        <v>10323</v>
      </c>
      <c r="D5477" s="14">
        <v>1</v>
      </c>
      <c r="E5477" s="15">
        <v>59.2</v>
      </c>
      <c r="F5477" s="16" t="s">
        <v>8</v>
      </c>
      <c r="G5477" s="38" t="str">
        <f>HYPERLINK("http://enext.ua/2411242")</f>
        <v>http://enext.ua/2411242</v>
      </c>
    </row>
    <row r="5478" spans="2:7" ht="11.25" outlineLevel="7" x14ac:dyDescent="0.2">
      <c r="B5478" s="14" t="s">
        <v>10324</v>
      </c>
      <c r="C5478" s="14" t="s">
        <v>10325</v>
      </c>
      <c r="D5478" s="14">
        <v>1</v>
      </c>
      <c r="E5478" s="15">
        <v>62.89</v>
      </c>
      <c r="F5478" s="16" t="s">
        <v>8</v>
      </c>
      <c r="G5478" s="14"/>
    </row>
    <row r="5479" spans="2:7" ht="11.25" outlineLevel="7" x14ac:dyDescent="0.2">
      <c r="B5479" s="14" t="s">
        <v>10326</v>
      </c>
      <c r="C5479" s="14" t="s">
        <v>10327</v>
      </c>
      <c r="D5479" s="14">
        <v>1</v>
      </c>
      <c r="E5479" s="15">
        <v>67.5</v>
      </c>
      <c r="F5479" s="16" t="s">
        <v>8</v>
      </c>
      <c r="G5479" s="14"/>
    </row>
    <row r="5480" spans="2:7" ht="11.25" outlineLevel="7" x14ac:dyDescent="0.2">
      <c r="B5480" s="14" t="s">
        <v>10328</v>
      </c>
      <c r="C5480" s="14" t="s">
        <v>10329</v>
      </c>
      <c r="D5480" s="14">
        <v>1</v>
      </c>
      <c r="E5480" s="15">
        <v>70.760000000000005</v>
      </c>
      <c r="F5480" s="16" t="s">
        <v>8</v>
      </c>
      <c r="G5480" s="14"/>
    </row>
    <row r="5481" spans="2:7" ht="11.25" outlineLevel="7" x14ac:dyDescent="0.2">
      <c r="B5481" s="14" t="s">
        <v>10330</v>
      </c>
      <c r="C5481" s="14" t="s">
        <v>10331</v>
      </c>
      <c r="D5481" s="14">
        <v>1</v>
      </c>
      <c r="E5481" s="15">
        <v>75.489999999999995</v>
      </c>
      <c r="F5481" s="16" t="s">
        <v>8</v>
      </c>
      <c r="G5481" s="14"/>
    </row>
    <row r="5482" spans="2:7" ht="11.25" outlineLevel="7" x14ac:dyDescent="0.2">
      <c r="B5482" s="14" t="s">
        <v>10332</v>
      </c>
      <c r="C5482" s="14" t="s">
        <v>10333</v>
      </c>
      <c r="D5482" s="14">
        <v>1</v>
      </c>
      <c r="E5482" s="15">
        <v>79.94</v>
      </c>
      <c r="F5482" s="16" t="s">
        <v>8</v>
      </c>
      <c r="G5482" s="14"/>
    </row>
    <row r="5483" spans="2:7" ht="11.25" outlineLevel="7" x14ac:dyDescent="0.2">
      <c r="B5483" s="14" t="s">
        <v>10334</v>
      </c>
      <c r="C5483" s="14" t="s">
        <v>10335</v>
      </c>
      <c r="D5483" s="14">
        <v>1</v>
      </c>
      <c r="E5483" s="15">
        <v>85.96</v>
      </c>
      <c r="F5483" s="16" t="s">
        <v>8</v>
      </c>
      <c r="G5483" s="14"/>
    </row>
    <row r="5484" spans="2:7" ht="11.25" outlineLevel="7" x14ac:dyDescent="0.2">
      <c r="B5484" s="14" t="s">
        <v>10336</v>
      </c>
      <c r="C5484" s="14" t="s">
        <v>10337</v>
      </c>
      <c r="D5484" s="14">
        <v>1</v>
      </c>
      <c r="E5484" s="15">
        <v>22.02</v>
      </c>
      <c r="F5484" s="16" t="s">
        <v>8</v>
      </c>
      <c r="G5484" s="38" t="str">
        <f>HYPERLINK("http://enext.ua/2410242")</f>
        <v>http://enext.ua/2410242</v>
      </c>
    </row>
    <row r="5485" spans="2:7" ht="11.25" outlineLevel="7" x14ac:dyDescent="0.2">
      <c r="B5485" s="14" t="s">
        <v>10338</v>
      </c>
      <c r="C5485" s="14" t="s">
        <v>10339</v>
      </c>
      <c r="D5485" s="14">
        <v>1</v>
      </c>
      <c r="E5485" s="15">
        <v>23.96</v>
      </c>
      <c r="F5485" s="16" t="s">
        <v>8</v>
      </c>
      <c r="G5485" s="14"/>
    </row>
    <row r="5486" spans="2:7" ht="12" outlineLevel="6" x14ac:dyDescent="0.2">
      <c r="B5486" s="18"/>
      <c r="C5486" s="39" t="s">
        <v>10340</v>
      </c>
      <c r="D5486" s="18"/>
      <c r="E5486" s="19"/>
      <c r="F5486" s="19"/>
      <c r="G5486" s="18"/>
    </row>
    <row r="5487" spans="2:7" ht="11.25" outlineLevel="7" x14ac:dyDescent="0.2">
      <c r="B5487" s="14" t="s">
        <v>10341</v>
      </c>
      <c r="C5487" s="14" t="s">
        <v>10342</v>
      </c>
      <c r="D5487" s="14">
        <v>1</v>
      </c>
      <c r="E5487" s="15">
        <v>37.61</v>
      </c>
      <c r="F5487" s="16" t="s">
        <v>8</v>
      </c>
      <c r="G5487" s="14"/>
    </row>
    <row r="5488" spans="2:7" ht="11.25" outlineLevel="7" x14ac:dyDescent="0.2">
      <c r="B5488" s="14" t="s">
        <v>10343</v>
      </c>
      <c r="C5488" s="14" t="s">
        <v>10344</v>
      </c>
      <c r="D5488" s="14">
        <v>1</v>
      </c>
      <c r="E5488" s="15">
        <v>38.619999999999997</v>
      </c>
      <c r="F5488" s="16" t="s">
        <v>8</v>
      </c>
      <c r="G5488" s="14"/>
    </row>
    <row r="5489" spans="2:7" ht="11.25" outlineLevel="7" x14ac:dyDescent="0.2">
      <c r="B5489" s="14" t="s">
        <v>10345</v>
      </c>
      <c r="C5489" s="14" t="s">
        <v>10346</v>
      </c>
      <c r="D5489" s="14">
        <v>1</v>
      </c>
      <c r="E5489" s="15">
        <v>43.54</v>
      </c>
      <c r="F5489" s="16" t="s">
        <v>8</v>
      </c>
      <c r="G5489" s="14"/>
    </row>
    <row r="5490" spans="2:7" ht="11.25" outlineLevel="7" x14ac:dyDescent="0.2">
      <c r="B5490" s="14" t="s">
        <v>10347</v>
      </c>
      <c r="C5490" s="14" t="s">
        <v>10348</v>
      </c>
      <c r="D5490" s="14">
        <v>1</v>
      </c>
      <c r="E5490" s="15">
        <v>49</v>
      </c>
      <c r="F5490" s="16" t="s">
        <v>8</v>
      </c>
      <c r="G5490" s="14"/>
    </row>
    <row r="5491" spans="2:7" ht="11.25" outlineLevel="7" x14ac:dyDescent="0.2">
      <c r="B5491" s="14" t="s">
        <v>10349</v>
      </c>
      <c r="C5491" s="14" t="s">
        <v>10350</v>
      </c>
      <c r="D5491" s="14">
        <v>1</v>
      </c>
      <c r="E5491" s="15">
        <v>52.75</v>
      </c>
      <c r="F5491" s="16" t="s">
        <v>8</v>
      </c>
      <c r="G5491" s="14"/>
    </row>
    <row r="5492" spans="2:7" ht="11.25" outlineLevel="7" x14ac:dyDescent="0.2">
      <c r="B5492" s="14" t="s">
        <v>10351</v>
      </c>
      <c r="C5492" s="14" t="s">
        <v>10352</v>
      </c>
      <c r="D5492" s="14">
        <v>1</v>
      </c>
      <c r="E5492" s="15">
        <v>60.04</v>
      </c>
      <c r="F5492" s="16" t="s">
        <v>8</v>
      </c>
      <c r="G5492" s="14"/>
    </row>
    <row r="5493" spans="2:7" ht="11.25" outlineLevel="7" x14ac:dyDescent="0.2">
      <c r="B5493" s="14" t="s">
        <v>10353</v>
      </c>
      <c r="C5493" s="14" t="s">
        <v>10354</v>
      </c>
      <c r="D5493" s="14">
        <v>1</v>
      </c>
      <c r="E5493" s="15">
        <v>63.78</v>
      </c>
      <c r="F5493" s="16" t="s">
        <v>8</v>
      </c>
      <c r="G5493" s="14"/>
    </row>
    <row r="5494" spans="2:7" ht="11.25" outlineLevel="7" x14ac:dyDescent="0.2">
      <c r="B5494" s="14" t="s">
        <v>10355</v>
      </c>
      <c r="C5494" s="14" t="s">
        <v>10356</v>
      </c>
      <c r="D5494" s="14">
        <v>1</v>
      </c>
      <c r="E5494" s="15">
        <v>68.47</v>
      </c>
      <c r="F5494" s="16" t="s">
        <v>8</v>
      </c>
      <c r="G5494" s="14"/>
    </row>
    <row r="5495" spans="2:7" ht="11.25" outlineLevel="7" x14ac:dyDescent="0.2">
      <c r="B5495" s="14" t="s">
        <v>10357</v>
      </c>
      <c r="C5495" s="14" t="s">
        <v>10358</v>
      </c>
      <c r="D5495" s="14">
        <v>1</v>
      </c>
      <c r="E5495" s="15">
        <v>71.77</v>
      </c>
      <c r="F5495" s="16" t="s">
        <v>8</v>
      </c>
      <c r="G5495" s="14"/>
    </row>
    <row r="5496" spans="2:7" ht="11.25" outlineLevel="7" x14ac:dyDescent="0.2">
      <c r="B5496" s="14" t="s">
        <v>10359</v>
      </c>
      <c r="C5496" s="14" t="s">
        <v>10360</v>
      </c>
      <c r="D5496" s="14">
        <v>1</v>
      </c>
      <c r="E5496" s="15">
        <v>76.56</v>
      </c>
      <c r="F5496" s="16" t="s">
        <v>8</v>
      </c>
      <c r="G5496" s="14"/>
    </row>
    <row r="5497" spans="2:7" ht="11.25" outlineLevel="7" x14ac:dyDescent="0.2">
      <c r="B5497" s="14" t="s">
        <v>10361</v>
      </c>
      <c r="C5497" s="14" t="s">
        <v>10362</v>
      </c>
      <c r="D5497" s="14">
        <v>1</v>
      </c>
      <c r="E5497" s="15">
        <v>23.16</v>
      </c>
      <c r="F5497" s="16" t="s">
        <v>8</v>
      </c>
      <c r="G5497" s="14"/>
    </row>
    <row r="5498" spans="2:7" ht="11.25" outlineLevel="7" x14ac:dyDescent="0.2">
      <c r="B5498" s="14" t="s">
        <v>10363</v>
      </c>
      <c r="C5498" s="14" t="s">
        <v>10364</v>
      </c>
      <c r="D5498" s="14">
        <v>1</v>
      </c>
      <c r="E5498" s="15">
        <v>80.3</v>
      </c>
      <c r="F5498" s="16" t="s">
        <v>8</v>
      </c>
      <c r="G5498" s="14"/>
    </row>
    <row r="5499" spans="2:7" ht="11.25" outlineLevel="7" x14ac:dyDescent="0.2">
      <c r="B5499" s="14" t="s">
        <v>10365</v>
      </c>
      <c r="C5499" s="14" t="s">
        <v>10366</v>
      </c>
      <c r="D5499" s="14">
        <v>1</v>
      </c>
      <c r="E5499" s="15">
        <v>93.53</v>
      </c>
      <c r="F5499" s="16" t="s">
        <v>8</v>
      </c>
      <c r="G5499" s="14"/>
    </row>
    <row r="5500" spans="2:7" ht="11.25" outlineLevel="7" x14ac:dyDescent="0.2">
      <c r="B5500" s="14" t="s">
        <v>10367</v>
      </c>
      <c r="C5500" s="14" t="s">
        <v>10368</v>
      </c>
      <c r="D5500" s="14">
        <v>1</v>
      </c>
      <c r="E5500" s="15">
        <v>30.68</v>
      </c>
      <c r="F5500" s="16" t="s">
        <v>8</v>
      </c>
      <c r="G5500" s="14"/>
    </row>
    <row r="5501" spans="2:7" ht="11.25" outlineLevel="7" x14ac:dyDescent="0.2">
      <c r="B5501" s="14" t="s">
        <v>10369</v>
      </c>
      <c r="C5501" s="14" t="s">
        <v>10370</v>
      </c>
      <c r="D5501" s="14">
        <v>1</v>
      </c>
      <c r="E5501" s="15">
        <v>31.51</v>
      </c>
      <c r="F5501" s="16" t="s">
        <v>8</v>
      </c>
      <c r="G5501" s="14"/>
    </row>
    <row r="5502" spans="2:7" ht="11.25" outlineLevel="7" x14ac:dyDescent="0.2">
      <c r="B5502" s="14" t="s">
        <v>10371</v>
      </c>
      <c r="C5502" s="14" t="s">
        <v>10372</v>
      </c>
      <c r="D5502" s="14">
        <v>1</v>
      </c>
      <c r="E5502" s="15">
        <v>32.18</v>
      </c>
      <c r="F5502" s="16" t="s">
        <v>8</v>
      </c>
      <c r="G5502" s="14"/>
    </row>
    <row r="5503" spans="2:7" ht="11.25" outlineLevel="7" x14ac:dyDescent="0.2">
      <c r="B5503" s="14" t="s">
        <v>10373</v>
      </c>
      <c r="C5503" s="14" t="s">
        <v>10374</v>
      </c>
      <c r="D5503" s="14">
        <v>1</v>
      </c>
      <c r="E5503" s="15">
        <v>33.11</v>
      </c>
      <c r="F5503" s="16" t="s">
        <v>8</v>
      </c>
      <c r="G5503" s="14"/>
    </row>
    <row r="5504" spans="2:7" ht="12" outlineLevel="6" x14ac:dyDescent="0.2">
      <c r="B5504" s="18"/>
      <c r="C5504" s="39" t="s">
        <v>10375</v>
      </c>
      <c r="D5504" s="18"/>
      <c r="E5504" s="19"/>
      <c r="F5504" s="19"/>
      <c r="G5504" s="18"/>
    </row>
    <row r="5505" spans="2:7" ht="11.25" outlineLevel="7" x14ac:dyDescent="0.2">
      <c r="B5505" s="14" t="s">
        <v>10376</v>
      </c>
      <c r="C5505" s="14" t="s">
        <v>10377</v>
      </c>
      <c r="D5505" s="14">
        <v>1</v>
      </c>
      <c r="E5505" s="15">
        <v>44.78</v>
      </c>
      <c r="F5505" s="16" t="s">
        <v>8</v>
      </c>
      <c r="G5505" s="14"/>
    </row>
    <row r="5506" spans="2:7" ht="11.25" outlineLevel="7" x14ac:dyDescent="0.2">
      <c r="B5506" s="14" t="s">
        <v>10378</v>
      </c>
      <c r="C5506" s="14" t="s">
        <v>10379</v>
      </c>
      <c r="D5506" s="14">
        <v>1</v>
      </c>
      <c r="E5506" s="15">
        <v>48.36</v>
      </c>
      <c r="F5506" s="16" t="s">
        <v>8</v>
      </c>
      <c r="G5506" s="14"/>
    </row>
    <row r="5507" spans="2:7" ht="11.25" outlineLevel="7" x14ac:dyDescent="0.2">
      <c r="B5507" s="14" t="s">
        <v>10380</v>
      </c>
      <c r="C5507" s="14" t="s">
        <v>10381</v>
      </c>
      <c r="D5507" s="14">
        <v>1</v>
      </c>
      <c r="E5507" s="15">
        <v>50</v>
      </c>
      <c r="F5507" s="16" t="s">
        <v>8</v>
      </c>
      <c r="G5507" s="14"/>
    </row>
    <row r="5508" spans="2:7" ht="11.25" outlineLevel="7" x14ac:dyDescent="0.2">
      <c r="B5508" s="14" t="s">
        <v>10382</v>
      </c>
      <c r="C5508" s="14" t="s">
        <v>10383</v>
      </c>
      <c r="D5508" s="14">
        <v>1</v>
      </c>
      <c r="E5508" s="15">
        <v>52.9</v>
      </c>
      <c r="F5508" s="16" t="s">
        <v>8</v>
      </c>
      <c r="G5508" s="14"/>
    </row>
    <row r="5509" spans="2:7" ht="11.25" outlineLevel="7" x14ac:dyDescent="0.2">
      <c r="B5509" s="14" t="s">
        <v>10384</v>
      </c>
      <c r="C5509" s="14" t="s">
        <v>10385</v>
      </c>
      <c r="D5509" s="14">
        <v>1</v>
      </c>
      <c r="E5509" s="15">
        <v>60.47</v>
      </c>
      <c r="F5509" s="16" t="s">
        <v>8</v>
      </c>
      <c r="G5509" s="14"/>
    </row>
    <row r="5510" spans="2:7" ht="11.25" outlineLevel="7" x14ac:dyDescent="0.2">
      <c r="B5510" s="14" t="s">
        <v>10386</v>
      </c>
      <c r="C5510" s="14" t="s">
        <v>10387</v>
      </c>
      <c r="D5510" s="14">
        <v>1</v>
      </c>
      <c r="E5510" s="15">
        <v>64.209999999999994</v>
      </c>
      <c r="F5510" s="16" t="s">
        <v>8</v>
      </c>
      <c r="G5510" s="14"/>
    </row>
    <row r="5511" spans="2:7" ht="11.25" outlineLevel="7" x14ac:dyDescent="0.2">
      <c r="B5511" s="14" t="s">
        <v>10388</v>
      </c>
      <c r="C5511" s="14" t="s">
        <v>10389</v>
      </c>
      <c r="D5511" s="14">
        <v>1</v>
      </c>
      <c r="E5511" s="15">
        <v>68.94</v>
      </c>
      <c r="F5511" s="16" t="s">
        <v>8</v>
      </c>
      <c r="G5511" s="14"/>
    </row>
    <row r="5512" spans="2:7" ht="11.25" outlineLevel="7" x14ac:dyDescent="0.2">
      <c r="B5512" s="14" t="s">
        <v>10390</v>
      </c>
      <c r="C5512" s="14" t="s">
        <v>10391</v>
      </c>
      <c r="D5512" s="14">
        <v>1</v>
      </c>
      <c r="E5512" s="15">
        <v>72.260000000000005</v>
      </c>
      <c r="F5512" s="16" t="s">
        <v>8</v>
      </c>
      <c r="G5512" s="14"/>
    </row>
    <row r="5513" spans="2:7" ht="11.25" outlineLevel="7" x14ac:dyDescent="0.2">
      <c r="B5513" s="14" t="s">
        <v>10392</v>
      </c>
      <c r="C5513" s="14" t="s">
        <v>10393</v>
      </c>
      <c r="D5513" s="14">
        <v>1</v>
      </c>
      <c r="E5513" s="15">
        <v>77.099999999999994</v>
      </c>
      <c r="F5513" s="16" t="s">
        <v>8</v>
      </c>
      <c r="G5513" s="14"/>
    </row>
    <row r="5514" spans="2:7" ht="11.25" outlineLevel="7" x14ac:dyDescent="0.2">
      <c r="B5514" s="14" t="s">
        <v>10394</v>
      </c>
      <c r="C5514" s="14" t="s">
        <v>10395</v>
      </c>
      <c r="D5514" s="14">
        <v>1</v>
      </c>
      <c r="E5514" s="15">
        <v>80.84</v>
      </c>
      <c r="F5514" s="16" t="s">
        <v>8</v>
      </c>
      <c r="G5514" s="14"/>
    </row>
    <row r="5515" spans="2:7" ht="11.25" outlineLevel="7" x14ac:dyDescent="0.2">
      <c r="B5515" s="14" t="s">
        <v>10396</v>
      </c>
      <c r="C5515" s="14" t="s">
        <v>10397</v>
      </c>
      <c r="D5515" s="14">
        <v>1</v>
      </c>
      <c r="E5515" s="15">
        <v>94.81</v>
      </c>
      <c r="F5515" s="16" t="s">
        <v>8</v>
      </c>
      <c r="G5515" s="14"/>
    </row>
    <row r="5516" spans="2:7" ht="11.25" outlineLevel="7" x14ac:dyDescent="0.2">
      <c r="B5516" s="14" t="s">
        <v>10398</v>
      </c>
      <c r="C5516" s="14" t="s">
        <v>10399</v>
      </c>
      <c r="D5516" s="14">
        <v>1</v>
      </c>
      <c r="E5516" s="15">
        <v>38.380000000000003</v>
      </c>
      <c r="F5516" s="16" t="s">
        <v>8</v>
      </c>
      <c r="G5516" s="14"/>
    </row>
    <row r="5517" spans="2:7" ht="11.25" outlineLevel="7" x14ac:dyDescent="0.2">
      <c r="B5517" s="14" t="s">
        <v>10400</v>
      </c>
      <c r="C5517" s="14" t="s">
        <v>10401</v>
      </c>
      <c r="D5517" s="14">
        <v>1</v>
      </c>
      <c r="E5517" s="15">
        <v>41.33</v>
      </c>
      <c r="F5517" s="16" t="s">
        <v>8</v>
      </c>
      <c r="G5517" s="14"/>
    </row>
    <row r="5518" spans="2:7" ht="12" outlineLevel="5" x14ac:dyDescent="0.2">
      <c r="B5518" s="18"/>
      <c r="C5518" s="39" t="s">
        <v>10402</v>
      </c>
      <c r="D5518" s="18"/>
      <c r="E5518" s="19"/>
      <c r="F5518" s="19"/>
      <c r="G5518" s="18"/>
    </row>
    <row r="5519" spans="2:7" ht="12" outlineLevel="6" x14ac:dyDescent="0.2">
      <c r="B5519" s="18"/>
      <c r="C5519" s="39" t="s">
        <v>10403</v>
      </c>
      <c r="D5519" s="18"/>
      <c r="E5519" s="19"/>
      <c r="F5519" s="19"/>
      <c r="G5519" s="18"/>
    </row>
    <row r="5520" spans="2:7" ht="11.25" outlineLevel="7" x14ac:dyDescent="0.2">
      <c r="B5520" s="14" t="s">
        <v>10404</v>
      </c>
      <c r="C5520" s="14" t="s">
        <v>10405</v>
      </c>
      <c r="D5520" s="14">
        <v>1</v>
      </c>
      <c r="E5520" s="15">
        <v>27.58</v>
      </c>
      <c r="F5520" s="16" t="s">
        <v>8</v>
      </c>
      <c r="G5520" s="14"/>
    </row>
    <row r="5521" spans="2:7" ht="11.25" outlineLevel="7" x14ac:dyDescent="0.2">
      <c r="B5521" s="14" t="s">
        <v>10406</v>
      </c>
      <c r="C5521" s="14" t="s">
        <v>10407</v>
      </c>
      <c r="D5521" s="14">
        <v>1</v>
      </c>
      <c r="E5521" s="15">
        <v>31.57</v>
      </c>
      <c r="F5521" s="16" t="s">
        <v>8</v>
      </c>
      <c r="G5521" s="14"/>
    </row>
    <row r="5522" spans="2:7" ht="11.25" outlineLevel="7" x14ac:dyDescent="0.2">
      <c r="B5522" s="14" t="s">
        <v>10408</v>
      </c>
      <c r="C5522" s="14" t="s">
        <v>10409</v>
      </c>
      <c r="D5522" s="14">
        <v>1</v>
      </c>
      <c r="E5522" s="15">
        <v>34.61</v>
      </c>
      <c r="F5522" s="16" t="s">
        <v>8</v>
      </c>
      <c r="G5522" s="14"/>
    </row>
    <row r="5523" spans="2:7" ht="11.25" outlineLevel="7" x14ac:dyDescent="0.2">
      <c r="B5523" s="14" t="s">
        <v>10410</v>
      </c>
      <c r="C5523" s="14" t="s">
        <v>10411</v>
      </c>
      <c r="D5523" s="14">
        <v>1</v>
      </c>
      <c r="E5523" s="15">
        <v>38.21</v>
      </c>
      <c r="F5523" s="16" t="s">
        <v>8</v>
      </c>
      <c r="G5523" s="14"/>
    </row>
    <row r="5524" spans="2:7" ht="11.25" outlineLevel="7" x14ac:dyDescent="0.2">
      <c r="B5524" s="14" t="s">
        <v>10412</v>
      </c>
      <c r="C5524" s="14" t="s">
        <v>10413</v>
      </c>
      <c r="D5524" s="14">
        <v>1</v>
      </c>
      <c r="E5524" s="15">
        <v>47.86</v>
      </c>
      <c r="F5524" s="16" t="s">
        <v>8</v>
      </c>
      <c r="G5524" s="14"/>
    </row>
    <row r="5525" spans="2:7" ht="11.25" outlineLevel="7" x14ac:dyDescent="0.2">
      <c r="B5525" s="14" t="s">
        <v>10414</v>
      </c>
      <c r="C5525" s="14" t="s">
        <v>10415</v>
      </c>
      <c r="D5525" s="14">
        <v>1</v>
      </c>
      <c r="E5525" s="15">
        <v>58.19</v>
      </c>
      <c r="F5525" s="16" t="s">
        <v>8</v>
      </c>
      <c r="G5525" s="14"/>
    </row>
    <row r="5526" spans="2:7" ht="11.25" outlineLevel="7" x14ac:dyDescent="0.2">
      <c r="B5526" s="14" t="s">
        <v>10416</v>
      </c>
      <c r="C5526" s="14" t="s">
        <v>10417</v>
      </c>
      <c r="D5526" s="14">
        <v>1</v>
      </c>
      <c r="E5526" s="15">
        <v>60.59</v>
      </c>
      <c r="F5526" s="16" t="s">
        <v>8</v>
      </c>
      <c r="G5526" s="14"/>
    </row>
    <row r="5527" spans="2:7" ht="11.25" outlineLevel="7" x14ac:dyDescent="0.2">
      <c r="B5527" s="14" t="s">
        <v>10418</v>
      </c>
      <c r="C5527" s="14" t="s">
        <v>10419</v>
      </c>
      <c r="D5527" s="14">
        <v>1</v>
      </c>
      <c r="E5527" s="15">
        <v>64.45</v>
      </c>
      <c r="F5527" s="16" t="s">
        <v>8</v>
      </c>
      <c r="G5527" s="14"/>
    </row>
    <row r="5528" spans="2:7" ht="11.25" outlineLevel="7" x14ac:dyDescent="0.2">
      <c r="B5528" s="14" t="s">
        <v>10420</v>
      </c>
      <c r="C5528" s="14" t="s">
        <v>10421</v>
      </c>
      <c r="D5528" s="14">
        <v>1</v>
      </c>
      <c r="E5528" s="15">
        <v>20.41</v>
      </c>
      <c r="F5528" s="16" t="s">
        <v>8</v>
      </c>
      <c r="G5528" s="14"/>
    </row>
    <row r="5529" spans="2:7" ht="11.25" outlineLevel="7" x14ac:dyDescent="0.2">
      <c r="B5529" s="14" t="s">
        <v>10422</v>
      </c>
      <c r="C5529" s="14" t="s">
        <v>10423</v>
      </c>
      <c r="D5529" s="14">
        <v>1</v>
      </c>
      <c r="E5529" s="15">
        <v>20.59</v>
      </c>
      <c r="F5529" s="16" t="s">
        <v>8</v>
      </c>
      <c r="G5529" s="14"/>
    </row>
    <row r="5530" spans="2:7" ht="11.25" outlineLevel="7" x14ac:dyDescent="0.2">
      <c r="B5530" s="14" t="s">
        <v>10424</v>
      </c>
      <c r="C5530" s="14" t="s">
        <v>10425</v>
      </c>
      <c r="D5530" s="14">
        <v>1</v>
      </c>
      <c r="E5530" s="15">
        <v>20.95</v>
      </c>
      <c r="F5530" s="16" t="s">
        <v>8</v>
      </c>
      <c r="G5530" s="14"/>
    </row>
    <row r="5531" spans="2:7" ht="11.25" outlineLevel="7" x14ac:dyDescent="0.2">
      <c r="B5531" s="14" t="s">
        <v>10426</v>
      </c>
      <c r="C5531" s="14" t="s">
        <v>10427</v>
      </c>
      <c r="D5531" s="14">
        <v>1</v>
      </c>
      <c r="E5531" s="15">
        <v>21.67</v>
      </c>
      <c r="F5531" s="16" t="s">
        <v>8</v>
      </c>
      <c r="G5531" s="14"/>
    </row>
    <row r="5532" spans="2:7" ht="11.25" outlineLevel="7" x14ac:dyDescent="0.2">
      <c r="B5532" s="14" t="s">
        <v>10428</v>
      </c>
      <c r="C5532" s="14" t="s">
        <v>10429</v>
      </c>
      <c r="D5532" s="14">
        <v>1</v>
      </c>
      <c r="E5532" s="15">
        <v>23.24</v>
      </c>
      <c r="F5532" s="16" t="s">
        <v>8</v>
      </c>
      <c r="G5532" s="14"/>
    </row>
    <row r="5533" spans="2:7" ht="12" outlineLevel="6" x14ac:dyDescent="0.2">
      <c r="B5533" s="18"/>
      <c r="C5533" s="39" t="s">
        <v>10430</v>
      </c>
      <c r="D5533" s="18"/>
      <c r="E5533" s="19"/>
      <c r="F5533" s="19"/>
      <c r="G5533" s="18"/>
    </row>
    <row r="5534" spans="2:7" ht="11.25" outlineLevel="7" x14ac:dyDescent="0.2">
      <c r="B5534" s="14" t="s">
        <v>10431</v>
      </c>
      <c r="C5534" s="14" t="s">
        <v>10432</v>
      </c>
      <c r="D5534" s="14">
        <v>1</v>
      </c>
      <c r="E5534" s="15">
        <v>28.32</v>
      </c>
      <c r="F5534" s="16" t="s">
        <v>8</v>
      </c>
      <c r="G5534" s="38" t="str">
        <f>HYPERLINK("http://enext.ua/2420642")</f>
        <v>http://enext.ua/2420642</v>
      </c>
    </row>
    <row r="5535" spans="2:7" ht="11.25" outlineLevel="7" x14ac:dyDescent="0.2">
      <c r="B5535" s="14" t="s">
        <v>10433</v>
      </c>
      <c r="C5535" s="14" t="s">
        <v>10434</v>
      </c>
      <c r="D5535" s="14">
        <v>1</v>
      </c>
      <c r="E5535" s="15">
        <v>39.229999999999997</v>
      </c>
      <c r="F5535" s="16" t="s">
        <v>8</v>
      </c>
      <c r="G5535" s="14"/>
    </row>
    <row r="5536" spans="2:7" ht="11.25" outlineLevel="7" x14ac:dyDescent="0.2">
      <c r="B5536" s="14" t="s">
        <v>10435</v>
      </c>
      <c r="C5536" s="14" t="s">
        <v>10436</v>
      </c>
      <c r="D5536" s="14">
        <v>1</v>
      </c>
      <c r="E5536" s="15">
        <v>48.74</v>
      </c>
      <c r="F5536" s="16" t="s">
        <v>8</v>
      </c>
      <c r="G5536" s="14"/>
    </row>
    <row r="5537" spans="2:7" ht="11.25" outlineLevel="7" x14ac:dyDescent="0.2">
      <c r="B5537" s="14" t="s">
        <v>10437</v>
      </c>
      <c r="C5537" s="14" t="s">
        <v>10438</v>
      </c>
      <c r="D5537" s="14">
        <v>1</v>
      </c>
      <c r="E5537" s="15">
        <v>52.56</v>
      </c>
      <c r="F5537" s="16" t="s">
        <v>8</v>
      </c>
      <c r="G5537" s="14"/>
    </row>
    <row r="5538" spans="2:7" ht="11.25" outlineLevel="7" x14ac:dyDescent="0.2">
      <c r="B5538" s="14" t="s">
        <v>10439</v>
      </c>
      <c r="C5538" s="14" t="s">
        <v>10440</v>
      </c>
      <c r="D5538" s="14">
        <v>1</v>
      </c>
      <c r="E5538" s="15">
        <v>59.2</v>
      </c>
      <c r="F5538" s="16" t="s">
        <v>8</v>
      </c>
      <c r="G5538" s="38" t="str">
        <f>HYPERLINK("http://enext.ua/2421242")</f>
        <v>http://enext.ua/2421242</v>
      </c>
    </row>
    <row r="5539" spans="2:7" ht="11.25" outlineLevel="7" x14ac:dyDescent="0.2">
      <c r="B5539" s="14" t="s">
        <v>10441</v>
      </c>
      <c r="C5539" s="14" t="s">
        <v>10442</v>
      </c>
      <c r="D5539" s="14">
        <v>1</v>
      </c>
      <c r="E5539" s="15">
        <v>62.89</v>
      </c>
      <c r="F5539" s="16" t="s">
        <v>8</v>
      </c>
      <c r="G5539" s="14"/>
    </row>
    <row r="5540" spans="2:7" ht="11.25" outlineLevel="7" x14ac:dyDescent="0.2">
      <c r="B5540" s="14" t="s">
        <v>10443</v>
      </c>
      <c r="C5540" s="14" t="s">
        <v>10444</v>
      </c>
      <c r="D5540" s="14">
        <v>1</v>
      </c>
      <c r="E5540" s="15">
        <v>67.5</v>
      </c>
      <c r="F5540" s="16" t="s">
        <v>8</v>
      </c>
      <c r="G5540" s="14"/>
    </row>
    <row r="5541" spans="2:7" ht="11.25" outlineLevel="7" x14ac:dyDescent="0.2">
      <c r="B5541" s="14" t="s">
        <v>10445</v>
      </c>
      <c r="C5541" s="14" t="s">
        <v>10446</v>
      </c>
      <c r="D5541" s="14">
        <v>1</v>
      </c>
      <c r="E5541" s="15">
        <v>70.760000000000005</v>
      </c>
      <c r="F5541" s="16" t="s">
        <v>8</v>
      </c>
      <c r="G5541" s="14"/>
    </row>
    <row r="5542" spans="2:7" ht="11.25" outlineLevel="7" x14ac:dyDescent="0.2">
      <c r="B5542" s="14" t="s">
        <v>10447</v>
      </c>
      <c r="C5542" s="14" t="s">
        <v>10448</v>
      </c>
      <c r="D5542" s="14">
        <v>1</v>
      </c>
      <c r="E5542" s="15">
        <v>75.489999999999995</v>
      </c>
      <c r="F5542" s="16" t="s">
        <v>8</v>
      </c>
      <c r="G5542" s="14"/>
    </row>
    <row r="5543" spans="2:7" ht="11.25" outlineLevel="7" x14ac:dyDescent="0.2">
      <c r="B5543" s="14" t="s">
        <v>10449</v>
      </c>
      <c r="C5543" s="14" t="s">
        <v>10450</v>
      </c>
      <c r="D5543" s="14">
        <v>1</v>
      </c>
      <c r="E5543" s="15">
        <v>79.94</v>
      </c>
      <c r="F5543" s="16" t="s">
        <v>8</v>
      </c>
      <c r="G5543" s="14"/>
    </row>
    <row r="5544" spans="2:7" ht="11.25" outlineLevel="7" x14ac:dyDescent="0.2">
      <c r="B5544" s="14" t="s">
        <v>10451</v>
      </c>
      <c r="C5544" s="14" t="s">
        <v>10452</v>
      </c>
      <c r="D5544" s="14">
        <v>1</v>
      </c>
      <c r="E5544" s="15">
        <v>85.96</v>
      </c>
      <c r="F5544" s="16" t="s">
        <v>8</v>
      </c>
      <c r="G5544" s="14"/>
    </row>
    <row r="5545" spans="2:7" ht="11.25" outlineLevel="7" x14ac:dyDescent="0.2">
      <c r="B5545" s="14" t="s">
        <v>10453</v>
      </c>
      <c r="C5545" s="14" t="s">
        <v>10454</v>
      </c>
      <c r="D5545" s="14">
        <v>1</v>
      </c>
      <c r="E5545" s="15">
        <v>22.02</v>
      </c>
      <c r="F5545" s="16" t="s">
        <v>8</v>
      </c>
      <c r="G5545" s="38" t="str">
        <f>HYPERLINK("http://enext.ua/2420242")</f>
        <v>http://enext.ua/2420242</v>
      </c>
    </row>
    <row r="5546" spans="2:7" ht="11.25" outlineLevel="7" x14ac:dyDescent="0.2">
      <c r="B5546" s="14" t="s">
        <v>10455</v>
      </c>
      <c r="C5546" s="14" t="s">
        <v>10456</v>
      </c>
      <c r="D5546" s="14">
        <v>1</v>
      </c>
      <c r="E5546" s="15">
        <v>23.96</v>
      </c>
      <c r="F5546" s="16" t="s">
        <v>8</v>
      </c>
      <c r="G5546" s="14"/>
    </row>
    <row r="5547" spans="2:7" ht="12" outlineLevel="6" x14ac:dyDescent="0.2">
      <c r="B5547" s="18"/>
      <c r="C5547" s="39" t="s">
        <v>10457</v>
      </c>
      <c r="D5547" s="18"/>
      <c r="E5547" s="19"/>
      <c r="F5547" s="19"/>
      <c r="G5547" s="18"/>
    </row>
    <row r="5548" spans="2:7" ht="11.25" outlineLevel="7" x14ac:dyDescent="0.2">
      <c r="B5548" s="14" t="s">
        <v>10458</v>
      </c>
      <c r="C5548" s="14" t="s">
        <v>10459</v>
      </c>
      <c r="D5548" s="14">
        <v>1</v>
      </c>
      <c r="E5548" s="15">
        <v>37.61</v>
      </c>
      <c r="F5548" s="16" t="s">
        <v>8</v>
      </c>
      <c r="G5548" s="14"/>
    </row>
    <row r="5549" spans="2:7" ht="11.25" outlineLevel="7" x14ac:dyDescent="0.2">
      <c r="B5549" s="14" t="s">
        <v>10460</v>
      </c>
      <c r="C5549" s="14" t="s">
        <v>10461</v>
      </c>
      <c r="D5549" s="14">
        <v>1</v>
      </c>
      <c r="E5549" s="15">
        <v>38.619999999999997</v>
      </c>
      <c r="F5549" s="16" t="s">
        <v>8</v>
      </c>
      <c r="G5549" s="14"/>
    </row>
    <row r="5550" spans="2:7" ht="11.25" outlineLevel="7" x14ac:dyDescent="0.2">
      <c r="B5550" s="14" t="s">
        <v>10462</v>
      </c>
      <c r="C5550" s="14" t="s">
        <v>10463</v>
      </c>
      <c r="D5550" s="14">
        <v>1</v>
      </c>
      <c r="E5550" s="15">
        <v>43.54</v>
      </c>
      <c r="F5550" s="16" t="s">
        <v>8</v>
      </c>
      <c r="G5550" s="14"/>
    </row>
    <row r="5551" spans="2:7" ht="11.25" outlineLevel="7" x14ac:dyDescent="0.2">
      <c r="B5551" s="14" t="s">
        <v>10464</v>
      </c>
      <c r="C5551" s="14" t="s">
        <v>10465</v>
      </c>
      <c r="D5551" s="14">
        <v>1</v>
      </c>
      <c r="E5551" s="15">
        <v>49</v>
      </c>
      <c r="F5551" s="16" t="s">
        <v>8</v>
      </c>
      <c r="G5551" s="14"/>
    </row>
    <row r="5552" spans="2:7" ht="11.25" outlineLevel="7" x14ac:dyDescent="0.2">
      <c r="B5552" s="14" t="s">
        <v>10466</v>
      </c>
      <c r="C5552" s="14" t="s">
        <v>10467</v>
      </c>
      <c r="D5552" s="14">
        <v>1</v>
      </c>
      <c r="E5552" s="15">
        <v>52.75</v>
      </c>
      <c r="F5552" s="16" t="s">
        <v>8</v>
      </c>
      <c r="G5552" s="14"/>
    </row>
    <row r="5553" spans="2:7" ht="11.25" outlineLevel="7" x14ac:dyDescent="0.2">
      <c r="B5553" s="14" t="s">
        <v>10468</v>
      </c>
      <c r="C5553" s="14" t="s">
        <v>10469</v>
      </c>
      <c r="D5553" s="14">
        <v>1</v>
      </c>
      <c r="E5553" s="15">
        <v>60.04</v>
      </c>
      <c r="F5553" s="16" t="s">
        <v>8</v>
      </c>
      <c r="G5553" s="14"/>
    </row>
    <row r="5554" spans="2:7" ht="11.25" outlineLevel="7" x14ac:dyDescent="0.2">
      <c r="B5554" s="14" t="s">
        <v>10470</v>
      </c>
      <c r="C5554" s="14" t="s">
        <v>10471</v>
      </c>
      <c r="D5554" s="14">
        <v>1</v>
      </c>
      <c r="E5554" s="15">
        <v>63.78</v>
      </c>
      <c r="F5554" s="16" t="s">
        <v>8</v>
      </c>
      <c r="G5554" s="14"/>
    </row>
    <row r="5555" spans="2:7" ht="11.25" outlineLevel="7" x14ac:dyDescent="0.2">
      <c r="B5555" s="14" t="s">
        <v>10472</v>
      </c>
      <c r="C5555" s="14" t="s">
        <v>10473</v>
      </c>
      <c r="D5555" s="14">
        <v>1</v>
      </c>
      <c r="E5555" s="15">
        <v>68.47</v>
      </c>
      <c r="F5555" s="16" t="s">
        <v>8</v>
      </c>
      <c r="G5555" s="14"/>
    </row>
    <row r="5556" spans="2:7" ht="11.25" outlineLevel="7" x14ac:dyDescent="0.2">
      <c r="B5556" s="14" t="s">
        <v>10474</v>
      </c>
      <c r="C5556" s="14" t="s">
        <v>10475</v>
      </c>
      <c r="D5556" s="14">
        <v>1</v>
      </c>
      <c r="E5556" s="15">
        <v>71.77</v>
      </c>
      <c r="F5556" s="16" t="s">
        <v>8</v>
      </c>
      <c r="G5556" s="38" t="str">
        <f>HYPERLINK("http://enext.ua/2421643")</f>
        <v>http://enext.ua/2421643</v>
      </c>
    </row>
    <row r="5557" spans="2:7" ht="11.25" outlineLevel="7" x14ac:dyDescent="0.2">
      <c r="B5557" s="14" t="s">
        <v>10476</v>
      </c>
      <c r="C5557" s="14" t="s">
        <v>10477</v>
      </c>
      <c r="D5557" s="14">
        <v>1</v>
      </c>
      <c r="E5557" s="15">
        <v>76.56</v>
      </c>
      <c r="F5557" s="16" t="s">
        <v>8</v>
      </c>
      <c r="G5557" s="14"/>
    </row>
    <row r="5558" spans="2:7" ht="11.25" outlineLevel="7" x14ac:dyDescent="0.2">
      <c r="B5558" s="14" t="s">
        <v>10478</v>
      </c>
      <c r="C5558" s="14" t="s">
        <v>10479</v>
      </c>
      <c r="D5558" s="14">
        <v>1</v>
      </c>
      <c r="E5558" s="15">
        <v>23.16</v>
      </c>
      <c r="F5558" s="16" t="s">
        <v>8</v>
      </c>
      <c r="G5558" s="14"/>
    </row>
    <row r="5559" spans="2:7" ht="11.25" outlineLevel="7" x14ac:dyDescent="0.2">
      <c r="B5559" s="14" t="s">
        <v>10480</v>
      </c>
      <c r="C5559" s="14" t="s">
        <v>10481</v>
      </c>
      <c r="D5559" s="14">
        <v>1</v>
      </c>
      <c r="E5559" s="15">
        <v>80.3</v>
      </c>
      <c r="F5559" s="16" t="s">
        <v>8</v>
      </c>
      <c r="G5559" s="14"/>
    </row>
    <row r="5560" spans="2:7" ht="11.25" outlineLevel="7" x14ac:dyDescent="0.2">
      <c r="B5560" s="14" t="s">
        <v>10482</v>
      </c>
      <c r="C5560" s="14" t="s">
        <v>10483</v>
      </c>
      <c r="D5560" s="14">
        <v>1</v>
      </c>
      <c r="E5560" s="15">
        <v>93.53</v>
      </c>
      <c r="F5560" s="16" t="s">
        <v>8</v>
      </c>
      <c r="G5560" s="14"/>
    </row>
    <row r="5561" spans="2:7" ht="11.25" outlineLevel="7" x14ac:dyDescent="0.2">
      <c r="B5561" s="14" t="s">
        <v>10484</v>
      </c>
      <c r="C5561" s="14" t="s">
        <v>10485</v>
      </c>
      <c r="D5561" s="14">
        <v>1</v>
      </c>
      <c r="E5561" s="15">
        <v>30.68</v>
      </c>
      <c r="F5561" s="16" t="s">
        <v>8</v>
      </c>
      <c r="G5561" s="14"/>
    </row>
    <row r="5562" spans="2:7" ht="11.25" outlineLevel="7" x14ac:dyDescent="0.2">
      <c r="B5562" s="14" t="s">
        <v>10486</v>
      </c>
      <c r="C5562" s="14" t="s">
        <v>10487</v>
      </c>
      <c r="D5562" s="14">
        <v>1</v>
      </c>
      <c r="E5562" s="15">
        <v>31.51</v>
      </c>
      <c r="F5562" s="16" t="s">
        <v>8</v>
      </c>
      <c r="G5562" s="14"/>
    </row>
    <row r="5563" spans="2:7" ht="11.25" outlineLevel="7" x14ac:dyDescent="0.2">
      <c r="B5563" s="14" t="s">
        <v>10488</v>
      </c>
      <c r="C5563" s="14" t="s">
        <v>10489</v>
      </c>
      <c r="D5563" s="14">
        <v>1</v>
      </c>
      <c r="E5563" s="15">
        <v>32.18</v>
      </c>
      <c r="F5563" s="16" t="s">
        <v>8</v>
      </c>
      <c r="G5563" s="14"/>
    </row>
    <row r="5564" spans="2:7" ht="11.25" outlineLevel="7" x14ac:dyDescent="0.2">
      <c r="B5564" s="14" t="s">
        <v>10490</v>
      </c>
      <c r="C5564" s="14" t="s">
        <v>10491</v>
      </c>
      <c r="D5564" s="14">
        <v>1</v>
      </c>
      <c r="E5564" s="15">
        <v>33.11</v>
      </c>
      <c r="F5564" s="16" t="s">
        <v>8</v>
      </c>
      <c r="G5564" s="14"/>
    </row>
    <row r="5565" spans="2:7" ht="12" outlineLevel="6" x14ac:dyDescent="0.2">
      <c r="B5565" s="18"/>
      <c r="C5565" s="39" t="s">
        <v>10492</v>
      </c>
      <c r="D5565" s="18"/>
      <c r="E5565" s="19"/>
      <c r="F5565" s="19"/>
      <c r="G5565" s="18"/>
    </row>
    <row r="5566" spans="2:7" ht="11.25" outlineLevel="7" x14ac:dyDescent="0.2">
      <c r="B5566" s="14" t="s">
        <v>10493</v>
      </c>
      <c r="C5566" s="14" t="s">
        <v>10494</v>
      </c>
      <c r="D5566" s="14">
        <v>1</v>
      </c>
      <c r="E5566" s="15">
        <v>44.78</v>
      </c>
      <c r="F5566" s="16" t="s">
        <v>8</v>
      </c>
      <c r="G5566" s="14"/>
    </row>
    <row r="5567" spans="2:7" ht="11.25" outlineLevel="7" x14ac:dyDescent="0.2">
      <c r="B5567" s="14" t="s">
        <v>10495</v>
      </c>
      <c r="C5567" s="14" t="s">
        <v>10496</v>
      </c>
      <c r="D5567" s="14">
        <v>1</v>
      </c>
      <c r="E5567" s="15">
        <v>48.36</v>
      </c>
      <c r="F5567" s="16" t="s">
        <v>8</v>
      </c>
      <c r="G5567" s="14"/>
    </row>
    <row r="5568" spans="2:7" ht="11.25" outlineLevel="7" x14ac:dyDescent="0.2">
      <c r="B5568" s="14" t="s">
        <v>10497</v>
      </c>
      <c r="C5568" s="14" t="s">
        <v>10498</v>
      </c>
      <c r="D5568" s="14">
        <v>1</v>
      </c>
      <c r="E5568" s="15">
        <v>50</v>
      </c>
      <c r="F5568" s="16" t="s">
        <v>8</v>
      </c>
      <c r="G5568" s="14"/>
    </row>
    <row r="5569" spans="2:7" ht="11.25" outlineLevel="7" x14ac:dyDescent="0.2">
      <c r="B5569" s="14" t="s">
        <v>10499</v>
      </c>
      <c r="C5569" s="14" t="s">
        <v>10500</v>
      </c>
      <c r="D5569" s="14">
        <v>1</v>
      </c>
      <c r="E5569" s="15">
        <v>52.9</v>
      </c>
      <c r="F5569" s="16" t="s">
        <v>8</v>
      </c>
      <c r="G5569" s="14"/>
    </row>
    <row r="5570" spans="2:7" ht="11.25" outlineLevel="7" x14ac:dyDescent="0.2">
      <c r="B5570" s="14" t="s">
        <v>10501</v>
      </c>
      <c r="C5570" s="14" t="s">
        <v>10502</v>
      </c>
      <c r="D5570" s="14">
        <v>1</v>
      </c>
      <c r="E5570" s="15">
        <v>60.47</v>
      </c>
      <c r="F5570" s="16" t="s">
        <v>8</v>
      </c>
      <c r="G5570" s="14"/>
    </row>
    <row r="5571" spans="2:7" ht="11.25" outlineLevel="7" x14ac:dyDescent="0.2">
      <c r="B5571" s="14" t="s">
        <v>10503</v>
      </c>
      <c r="C5571" s="14" t="s">
        <v>10504</v>
      </c>
      <c r="D5571" s="14">
        <v>1</v>
      </c>
      <c r="E5571" s="15">
        <v>64.209999999999994</v>
      </c>
      <c r="F5571" s="16" t="s">
        <v>8</v>
      </c>
      <c r="G5571" s="14"/>
    </row>
    <row r="5572" spans="2:7" ht="11.25" outlineLevel="7" x14ac:dyDescent="0.2">
      <c r="B5572" s="14" t="s">
        <v>10505</v>
      </c>
      <c r="C5572" s="14" t="s">
        <v>10506</v>
      </c>
      <c r="D5572" s="14">
        <v>1</v>
      </c>
      <c r="E5572" s="15">
        <v>68.94</v>
      </c>
      <c r="F5572" s="16" t="s">
        <v>8</v>
      </c>
      <c r="G5572" s="14"/>
    </row>
    <row r="5573" spans="2:7" ht="11.25" outlineLevel="7" x14ac:dyDescent="0.2">
      <c r="B5573" s="14" t="s">
        <v>10507</v>
      </c>
      <c r="C5573" s="14" t="s">
        <v>10508</v>
      </c>
      <c r="D5573" s="14">
        <v>1</v>
      </c>
      <c r="E5573" s="15">
        <v>72.260000000000005</v>
      </c>
      <c r="F5573" s="16" t="s">
        <v>8</v>
      </c>
      <c r="G5573" s="14"/>
    </row>
    <row r="5574" spans="2:7" ht="11.25" outlineLevel="7" x14ac:dyDescent="0.2">
      <c r="B5574" s="14" t="s">
        <v>10509</v>
      </c>
      <c r="C5574" s="14" t="s">
        <v>10510</v>
      </c>
      <c r="D5574" s="14">
        <v>1</v>
      </c>
      <c r="E5574" s="15">
        <v>77.099999999999994</v>
      </c>
      <c r="F5574" s="16" t="s">
        <v>8</v>
      </c>
      <c r="G5574" s="14"/>
    </row>
    <row r="5575" spans="2:7" ht="11.25" outlineLevel="7" x14ac:dyDescent="0.2">
      <c r="B5575" s="14" t="s">
        <v>10511</v>
      </c>
      <c r="C5575" s="14" t="s">
        <v>10512</v>
      </c>
      <c r="D5575" s="14">
        <v>1</v>
      </c>
      <c r="E5575" s="15">
        <v>80.84</v>
      </c>
      <c r="F5575" s="16" t="s">
        <v>8</v>
      </c>
      <c r="G5575" s="14"/>
    </row>
    <row r="5576" spans="2:7" ht="11.25" outlineLevel="7" x14ac:dyDescent="0.2">
      <c r="B5576" s="14" t="s">
        <v>10513</v>
      </c>
      <c r="C5576" s="14" t="s">
        <v>10514</v>
      </c>
      <c r="D5576" s="14">
        <v>1</v>
      </c>
      <c r="E5576" s="15">
        <v>94.81</v>
      </c>
      <c r="F5576" s="16" t="s">
        <v>8</v>
      </c>
      <c r="G5576" s="14"/>
    </row>
    <row r="5577" spans="2:7" ht="11.25" outlineLevel="7" x14ac:dyDescent="0.2">
      <c r="B5577" s="14" t="s">
        <v>10515</v>
      </c>
      <c r="C5577" s="14" t="s">
        <v>10516</v>
      </c>
      <c r="D5577" s="14">
        <v>1</v>
      </c>
      <c r="E5577" s="15">
        <v>38.380000000000003</v>
      </c>
      <c r="F5577" s="16" t="s">
        <v>8</v>
      </c>
      <c r="G5577" s="14"/>
    </row>
    <row r="5578" spans="2:7" ht="11.25" outlineLevel="7" x14ac:dyDescent="0.2">
      <c r="B5578" s="14" t="s">
        <v>10517</v>
      </c>
      <c r="C5578" s="14" t="s">
        <v>10518</v>
      </c>
      <c r="D5578" s="14">
        <v>1</v>
      </c>
      <c r="E5578" s="15">
        <v>41.33</v>
      </c>
      <c r="F5578" s="16" t="s">
        <v>8</v>
      </c>
      <c r="G5578" s="14"/>
    </row>
    <row r="5579" spans="2:7" ht="12" outlineLevel="4" x14ac:dyDescent="0.2">
      <c r="B5579" s="12"/>
      <c r="C5579" s="37" t="s">
        <v>10519</v>
      </c>
      <c r="D5579" s="12"/>
      <c r="E5579" s="13"/>
      <c r="F5579" s="13"/>
      <c r="G5579" s="12"/>
    </row>
    <row r="5580" spans="2:7" ht="11.25" outlineLevel="5" x14ac:dyDescent="0.2">
      <c r="B5580" s="14" t="s">
        <v>10520</v>
      </c>
      <c r="C5580" s="14" t="s">
        <v>10521</v>
      </c>
      <c r="D5580" s="14">
        <v>1</v>
      </c>
      <c r="E5580" s="15">
        <v>46.69</v>
      </c>
      <c r="F5580" s="16" t="s">
        <v>4214</v>
      </c>
      <c r="G5580" s="38" t="str">
        <f>HYPERLINK("http://enext.ua/2520430")</f>
        <v>http://enext.ua/2520430</v>
      </c>
    </row>
    <row r="5581" spans="2:7" ht="11.25" outlineLevel="5" x14ac:dyDescent="0.2">
      <c r="B5581" s="14" t="s">
        <v>10522</v>
      </c>
      <c r="C5581" s="14" t="s">
        <v>10523</v>
      </c>
      <c r="D5581" s="14">
        <v>1</v>
      </c>
      <c r="E5581" s="15">
        <v>21.53</v>
      </c>
      <c r="F5581" s="16" t="s">
        <v>4214</v>
      </c>
      <c r="G5581" s="14"/>
    </row>
    <row r="5582" spans="2:7" ht="11.25" outlineLevel="5" x14ac:dyDescent="0.2">
      <c r="B5582" s="14" t="s">
        <v>10524</v>
      </c>
      <c r="C5582" s="14" t="s">
        <v>10525</v>
      </c>
      <c r="D5582" s="14">
        <v>1</v>
      </c>
      <c r="E5582" s="15">
        <v>34.99</v>
      </c>
      <c r="F5582" s="16" t="s">
        <v>4214</v>
      </c>
      <c r="G5582" s="38" t="str">
        <f>HYPERLINK("http://enext.ua/2520230")</f>
        <v>http://enext.ua/2520230</v>
      </c>
    </row>
    <row r="5583" spans="2:7" ht="11.25" outlineLevel="5" x14ac:dyDescent="0.2">
      <c r="B5583" s="14" t="s">
        <v>10526</v>
      </c>
      <c r="C5583" s="14" t="s">
        <v>10527</v>
      </c>
      <c r="D5583" s="14">
        <v>1</v>
      </c>
      <c r="E5583" s="15">
        <v>45.61</v>
      </c>
      <c r="F5583" s="16" t="s">
        <v>4214</v>
      </c>
      <c r="G5583" s="38" t="str">
        <f>HYPERLINK("http://enext.ua/2520330")</f>
        <v>http://enext.ua/2520330</v>
      </c>
    </row>
    <row r="5584" spans="2:7" ht="12" outlineLevel="3" x14ac:dyDescent="0.2">
      <c r="B5584" s="10"/>
      <c r="C5584" s="36" t="s">
        <v>10528</v>
      </c>
      <c r="D5584" s="10"/>
      <c r="E5584" s="11"/>
      <c r="F5584" s="11"/>
      <c r="G5584" s="10"/>
    </row>
    <row r="5585" spans="2:7" ht="12" outlineLevel="4" x14ac:dyDescent="0.2">
      <c r="B5585" s="12"/>
      <c r="C5585" s="37" t="s">
        <v>10529</v>
      </c>
      <c r="D5585" s="12"/>
      <c r="E5585" s="13"/>
      <c r="F5585" s="13"/>
      <c r="G5585" s="12"/>
    </row>
    <row r="5586" spans="2:7" ht="12" outlineLevel="5" x14ac:dyDescent="0.2">
      <c r="B5586" s="18"/>
      <c r="C5586" s="39" t="s">
        <v>10530</v>
      </c>
      <c r="D5586" s="18"/>
      <c r="E5586" s="19"/>
      <c r="F5586" s="19"/>
      <c r="G5586" s="18"/>
    </row>
    <row r="5587" spans="2:7" ht="11.25" outlineLevel="6" x14ac:dyDescent="0.2">
      <c r="B5587" s="14" t="s">
        <v>10531</v>
      </c>
      <c r="C5587" s="14" t="s">
        <v>10532</v>
      </c>
      <c r="D5587" s="14">
        <v>1</v>
      </c>
      <c r="E5587" s="15">
        <v>223.37</v>
      </c>
      <c r="F5587" s="16" t="s">
        <v>4214</v>
      </c>
      <c r="G5587" s="14"/>
    </row>
    <row r="5588" spans="2:7" ht="11.25" outlineLevel="6" x14ac:dyDescent="0.2">
      <c r="B5588" s="14" t="s">
        <v>10533</v>
      </c>
      <c r="C5588" s="14" t="s">
        <v>10534</v>
      </c>
      <c r="D5588" s="14">
        <v>1</v>
      </c>
      <c r="E5588" s="15">
        <v>224.88</v>
      </c>
      <c r="F5588" s="16" t="s">
        <v>4214</v>
      </c>
      <c r="G5588" s="14"/>
    </row>
    <row r="5589" spans="2:7" ht="11.25" outlineLevel="6" x14ac:dyDescent="0.2">
      <c r="B5589" s="14" t="s">
        <v>10535</v>
      </c>
      <c r="C5589" s="14" t="s">
        <v>10536</v>
      </c>
      <c r="D5589" s="14">
        <v>1</v>
      </c>
      <c r="E5589" s="15">
        <v>246.94</v>
      </c>
      <c r="F5589" s="16" t="s">
        <v>4214</v>
      </c>
      <c r="G5589" s="14"/>
    </row>
    <row r="5590" spans="2:7" ht="11.25" outlineLevel="6" x14ac:dyDescent="0.2">
      <c r="B5590" s="14" t="s">
        <v>10537</v>
      </c>
      <c r="C5590" s="14" t="s">
        <v>10538</v>
      </c>
      <c r="D5590" s="14">
        <v>1</v>
      </c>
      <c r="E5590" s="15">
        <v>265.57</v>
      </c>
      <c r="F5590" s="16" t="s">
        <v>4214</v>
      </c>
      <c r="G5590" s="14"/>
    </row>
    <row r="5591" spans="2:7" ht="11.25" outlineLevel="6" x14ac:dyDescent="0.2">
      <c r="B5591" s="14" t="s">
        <v>10539</v>
      </c>
      <c r="C5591" s="14" t="s">
        <v>10540</v>
      </c>
      <c r="D5591" s="14">
        <v>1</v>
      </c>
      <c r="E5591" s="15">
        <v>287.33</v>
      </c>
      <c r="F5591" s="16" t="s">
        <v>4214</v>
      </c>
      <c r="G5591" s="14"/>
    </row>
    <row r="5592" spans="2:7" ht="11.25" outlineLevel="6" x14ac:dyDescent="0.2">
      <c r="B5592" s="14" t="s">
        <v>10541</v>
      </c>
      <c r="C5592" s="14" t="s">
        <v>10542</v>
      </c>
      <c r="D5592" s="14">
        <v>1</v>
      </c>
      <c r="E5592" s="15">
        <v>309.17</v>
      </c>
      <c r="F5592" s="16" t="s">
        <v>4214</v>
      </c>
      <c r="G5592" s="14"/>
    </row>
    <row r="5593" spans="2:7" ht="12" outlineLevel="5" x14ac:dyDescent="0.2">
      <c r="B5593" s="18"/>
      <c r="C5593" s="39" t="s">
        <v>10543</v>
      </c>
      <c r="D5593" s="18"/>
      <c r="E5593" s="19"/>
      <c r="F5593" s="19"/>
      <c r="G5593" s="18"/>
    </row>
    <row r="5594" spans="2:7" ht="11.25" outlineLevel="6" x14ac:dyDescent="0.2">
      <c r="B5594" s="14" t="s">
        <v>10544</v>
      </c>
      <c r="C5594" s="14" t="s">
        <v>10545</v>
      </c>
      <c r="D5594" s="14">
        <v>1</v>
      </c>
      <c r="E5594" s="15">
        <v>287.42</v>
      </c>
      <c r="F5594" s="16" t="s">
        <v>4214</v>
      </c>
      <c r="G5594" s="14"/>
    </row>
    <row r="5595" spans="2:7" ht="11.25" outlineLevel="6" x14ac:dyDescent="0.2">
      <c r="B5595" s="14" t="s">
        <v>10546</v>
      </c>
      <c r="C5595" s="14" t="s">
        <v>10547</v>
      </c>
      <c r="D5595" s="14">
        <v>1</v>
      </c>
      <c r="E5595" s="15">
        <v>293.42</v>
      </c>
      <c r="F5595" s="16" t="s">
        <v>4214</v>
      </c>
      <c r="G5595" s="14"/>
    </row>
    <row r="5596" spans="2:7" ht="11.25" outlineLevel="6" x14ac:dyDescent="0.2">
      <c r="B5596" s="14" t="s">
        <v>10548</v>
      </c>
      <c r="C5596" s="14" t="s">
        <v>10549</v>
      </c>
      <c r="D5596" s="14">
        <v>1</v>
      </c>
      <c r="E5596" s="15">
        <v>316.57</v>
      </c>
      <c r="F5596" s="16" t="s">
        <v>4214</v>
      </c>
      <c r="G5596" s="14"/>
    </row>
    <row r="5597" spans="2:7" ht="11.25" outlineLevel="6" x14ac:dyDescent="0.2">
      <c r="B5597" s="14" t="s">
        <v>10550</v>
      </c>
      <c r="C5597" s="14" t="s">
        <v>10551</v>
      </c>
      <c r="D5597" s="14">
        <v>1</v>
      </c>
      <c r="E5597" s="15">
        <v>339.58</v>
      </c>
      <c r="F5597" s="16" t="s">
        <v>4214</v>
      </c>
      <c r="G5597" s="14"/>
    </row>
    <row r="5598" spans="2:7" ht="11.25" outlineLevel="6" x14ac:dyDescent="0.2">
      <c r="B5598" s="14" t="s">
        <v>10552</v>
      </c>
      <c r="C5598" s="14" t="s">
        <v>10553</v>
      </c>
      <c r="D5598" s="14">
        <v>1</v>
      </c>
      <c r="E5598" s="15">
        <v>362.58</v>
      </c>
      <c r="F5598" s="16" t="s">
        <v>4214</v>
      </c>
      <c r="G5598" s="14"/>
    </row>
    <row r="5599" spans="2:7" ht="11.25" outlineLevel="6" x14ac:dyDescent="0.2">
      <c r="B5599" s="14" t="s">
        <v>10554</v>
      </c>
      <c r="C5599" s="14" t="s">
        <v>10555</v>
      </c>
      <c r="D5599" s="14">
        <v>1</v>
      </c>
      <c r="E5599" s="15">
        <v>385.49</v>
      </c>
      <c r="F5599" s="16" t="s">
        <v>4214</v>
      </c>
      <c r="G5599" s="14"/>
    </row>
    <row r="5600" spans="2:7" ht="12" outlineLevel="5" x14ac:dyDescent="0.2">
      <c r="B5600" s="18"/>
      <c r="C5600" s="39" t="s">
        <v>10556</v>
      </c>
      <c r="D5600" s="18"/>
      <c r="E5600" s="19"/>
      <c r="F5600" s="19"/>
      <c r="G5600" s="18"/>
    </row>
    <row r="5601" spans="2:7" ht="11.25" outlineLevel="6" x14ac:dyDescent="0.2">
      <c r="B5601" s="14" t="s">
        <v>10557</v>
      </c>
      <c r="C5601" s="14" t="s">
        <v>10558</v>
      </c>
      <c r="D5601" s="14">
        <v>1</v>
      </c>
      <c r="E5601" s="15">
        <v>330.83</v>
      </c>
      <c r="F5601" s="16" t="s">
        <v>4214</v>
      </c>
      <c r="G5601" s="14"/>
    </row>
    <row r="5602" spans="2:7" ht="11.25" outlineLevel="6" x14ac:dyDescent="0.2">
      <c r="B5602" s="14" t="s">
        <v>10559</v>
      </c>
      <c r="C5602" s="14" t="s">
        <v>10560</v>
      </c>
      <c r="D5602" s="14">
        <v>1</v>
      </c>
      <c r="E5602" s="15">
        <v>359.4</v>
      </c>
      <c r="F5602" s="16" t="s">
        <v>4214</v>
      </c>
      <c r="G5602" s="14"/>
    </row>
    <row r="5603" spans="2:7" ht="11.25" outlineLevel="6" x14ac:dyDescent="0.2">
      <c r="B5603" s="14" t="s">
        <v>10561</v>
      </c>
      <c r="C5603" s="14" t="s">
        <v>10562</v>
      </c>
      <c r="D5603" s="14">
        <v>1</v>
      </c>
      <c r="E5603" s="15">
        <v>382.61</v>
      </c>
      <c r="F5603" s="16" t="s">
        <v>4214</v>
      </c>
      <c r="G5603" s="14"/>
    </row>
    <row r="5604" spans="2:7" ht="11.25" outlineLevel="6" x14ac:dyDescent="0.2">
      <c r="B5604" s="14" t="s">
        <v>10563</v>
      </c>
      <c r="C5604" s="14" t="s">
        <v>10564</v>
      </c>
      <c r="D5604" s="14">
        <v>1</v>
      </c>
      <c r="E5604" s="15">
        <v>405.54</v>
      </c>
      <c r="F5604" s="16" t="s">
        <v>4214</v>
      </c>
      <c r="G5604" s="14"/>
    </row>
    <row r="5605" spans="2:7" ht="11.25" outlineLevel="6" x14ac:dyDescent="0.2">
      <c r="B5605" s="14" t="s">
        <v>10565</v>
      </c>
      <c r="C5605" s="14" t="s">
        <v>10566</v>
      </c>
      <c r="D5605" s="14">
        <v>1</v>
      </c>
      <c r="E5605" s="15">
        <v>428.68</v>
      </c>
      <c r="F5605" s="16" t="s">
        <v>4214</v>
      </c>
      <c r="G5605" s="14"/>
    </row>
    <row r="5606" spans="2:7" ht="11.25" outlineLevel="6" x14ac:dyDescent="0.2">
      <c r="B5606" s="14" t="s">
        <v>10567</v>
      </c>
      <c r="C5606" s="14" t="s">
        <v>10568</v>
      </c>
      <c r="D5606" s="14">
        <v>1</v>
      </c>
      <c r="E5606" s="15">
        <v>451.88</v>
      </c>
      <c r="F5606" s="16" t="s">
        <v>4214</v>
      </c>
      <c r="G5606" s="14"/>
    </row>
    <row r="5607" spans="2:7" ht="24" outlineLevel="4" x14ac:dyDescent="0.2">
      <c r="B5607" s="12"/>
      <c r="C5607" s="37" t="s">
        <v>10569</v>
      </c>
      <c r="D5607" s="12"/>
      <c r="E5607" s="13"/>
      <c r="F5607" s="13"/>
      <c r="G5607" s="12"/>
    </row>
    <row r="5608" spans="2:7" ht="12" outlineLevel="5" x14ac:dyDescent="0.2">
      <c r="B5608" s="18"/>
      <c r="C5608" s="39" t="s">
        <v>10570</v>
      </c>
      <c r="D5608" s="18"/>
      <c r="E5608" s="19"/>
      <c r="F5608" s="19"/>
      <c r="G5608" s="18"/>
    </row>
    <row r="5609" spans="2:7" ht="11.25" outlineLevel="6" x14ac:dyDescent="0.2">
      <c r="B5609" s="14" t="s">
        <v>10571</v>
      </c>
      <c r="C5609" s="14" t="s">
        <v>10572</v>
      </c>
      <c r="D5609" s="14">
        <v>1</v>
      </c>
      <c r="E5609" s="15">
        <v>196.69</v>
      </c>
      <c r="F5609" s="16" t="s">
        <v>4214</v>
      </c>
      <c r="G5609" s="14"/>
    </row>
    <row r="5610" spans="2:7" ht="11.25" outlineLevel="6" x14ac:dyDescent="0.2">
      <c r="B5610" s="14" t="s">
        <v>10573</v>
      </c>
      <c r="C5610" s="14" t="s">
        <v>10574</v>
      </c>
      <c r="D5610" s="14">
        <v>1</v>
      </c>
      <c r="E5610" s="15">
        <v>217.03</v>
      </c>
      <c r="F5610" s="16" t="s">
        <v>4214</v>
      </c>
      <c r="G5610" s="14"/>
    </row>
    <row r="5611" spans="2:7" ht="11.25" outlineLevel="6" x14ac:dyDescent="0.2">
      <c r="B5611" s="14" t="s">
        <v>10575</v>
      </c>
      <c r="C5611" s="14" t="s">
        <v>10576</v>
      </c>
      <c r="D5611" s="14">
        <v>1</v>
      </c>
      <c r="E5611" s="15">
        <v>230.22</v>
      </c>
      <c r="F5611" s="16" t="s">
        <v>4214</v>
      </c>
      <c r="G5611" s="14"/>
    </row>
    <row r="5612" spans="2:7" ht="11.25" outlineLevel="6" x14ac:dyDescent="0.2">
      <c r="B5612" s="14" t="s">
        <v>10577</v>
      </c>
      <c r="C5612" s="14" t="s">
        <v>10578</v>
      </c>
      <c r="D5612" s="14">
        <v>1</v>
      </c>
      <c r="E5612" s="15">
        <v>257.02</v>
      </c>
      <c r="F5612" s="16" t="s">
        <v>4214</v>
      </c>
      <c r="G5612" s="14"/>
    </row>
    <row r="5613" spans="2:7" ht="12" outlineLevel="5" x14ac:dyDescent="0.2">
      <c r="B5613" s="18"/>
      <c r="C5613" s="39" t="s">
        <v>10579</v>
      </c>
      <c r="D5613" s="18"/>
      <c r="E5613" s="19"/>
      <c r="F5613" s="19"/>
      <c r="G5613" s="18"/>
    </row>
    <row r="5614" spans="2:7" ht="11.25" outlineLevel="6" x14ac:dyDescent="0.2">
      <c r="B5614" s="14" t="s">
        <v>10580</v>
      </c>
      <c r="C5614" s="14" t="s">
        <v>10581</v>
      </c>
      <c r="D5614" s="14">
        <v>1</v>
      </c>
      <c r="E5614" s="15">
        <v>223.56</v>
      </c>
      <c r="F5614" s="16" t="s">
        <v>4214</v>
      </c>
      <c r="G5614" s="38" t="str">
        <f>HYPERLINK("http://enext.ua/3113250")</f>
        <v>http://enext.ua/3113250</v>
      </c>
    </row>
    <row r="5615" spans="2:7" ht="11.25" outlineLevel="6" x14ac:dyDescent="0.2">
      <c r="B5615" s="14" t="s">
        <v>10582</v>
      </c>
      <c r="C5615" s="14" t="s">
        <v>10583</v>
      </c>
      <c r="D5615" s="14">
        <v>1</v>
      </c>
      <c r="E5615" s="15">
        <v>244.21</v>
      </c>
      <c r="F5615" s="16" t="s">
        <v>4214</v>
      </c>
      <c r="G5615" s="38" t="str">
        <f>HYPERLINK("http://enext.ua/3115250")</f>
        <v>http://enext.ua/3115250</v>
      </c>
    </row>
    <row r="5616" spans="2:7" ht="11.25" outlineLevel="6" x14ac:dyDescent="0.2">
      <c r="B5616" s="14" t="s">
        <v>10584</v>
      </c>
      <c r="C5616" s="14" t="s">
        <v>10585</v>
      </c>
      <c r="D5616" s="14">
        <v>1</v>
      </c>
      <c r="E5616" s="15">
        <v>254.42</v>
      </c>
      <c r="F5616" s="16" t="s">
        <v>4214</v>
      </c>
      <c r="G5616" s="38" t="str">
        <f>HYPERLINK("http://enext.ua/3116250")</f>
        <v>http://enext.ua/3116250</v>
      </c>
    </row>
    <row r="5617" spans="2:7" ht="11.25" outlineLevel="6" x14ac:dyDescent="0.2">
      <c r="B5617" s="14" t="s">
        <v>10586</v>
      </c>
      <c r="C5617" s="14" t="s">
        <v>10587</v>
      </c>
      <c r="D5617" s="14">
        <v>1</v>
      </c>
      <c r="E5617" s="15">
        <v>284.44</v>
      </c>
      <c r="F5617" s="16" t="s">
        <v>4214</v>
      </c>
      <c r="G5617" s="38" t="str">
        <f>HYPERLINK("http://enext.ua/3117250")</f>
        <v>http://enext.ua/3117250</v>
      </c>
    </row>
    <row r="5618" spans="2:7" ht="11.25" outlineLevel="6" x14ac:dyDescent="0.2">
      <c r="B5618" s="14" t="s">
        <v>10588</v>
      </c>
      <c r="C5618" s="14" t="s">
        <v>10589</v>
      </c>
      <c r="D5618" s="14">
        <v>1</v>
      </c>
      <c r="E5618" s="15">
        <v>316.66000000000003</v>
      </c>
      <c r="F5618" s="16" t="s">
        <v>4214</v>
      </c>
      <c r="G5618" s="38" t="str">
        <f>HYPERLINK("http://enext.ua/3118250")</f>
        <v>http://enext.ua/3118250</v>
      </c>
    </row>
    <row r="5619" spans="2:7" ht="11.25" outlineLevel="6" x14ac:dyDescent="0.2">
      <c r="B5619" s="14" t="s">
        <v>10590</v>
      </c>
      <c r="C5619" s="14" t="s">
        <v>10591</v>
      </c>
      <c r="D5619" s="14">
        <v>1</v>
      </c>
      <c r="E5619" s="15">
        <v>340.49</v>
      </c>
      <c r="F5619" s="16" t="s">
        <v>4214</v>
      </c>
      <c r="G5619" s="38" t="str">
        <f>HYPERLINK("http://enext.ua/3119250")</f>
        <v>http://enext.ua/3119250</v>
      </c>
    </row>
    <row r="5620" spans="2:7" ht="12" outlineLevel="5" x14ac:dyDescent="0.2">
      <c r="B5620" s="18"/>
      <c r="C5620" s="39" t="s">
        <v>10592</v>
      </c>
      <c r="D5620" s="18"/>
      <c r="E5620" s="19"/>
      <c r="F5620" s="19"/>
      <c r="G5620" s="18"/>
    </row>
    <row r="5621" spans="2:7" ht="11.25" outlineLevel="6" x14ac:dyDescent="0.2">
      <c r="B5621" s="14" t="s">
        <v>10593</v>
      </c>
      <c r="C5621" s="14" t="s">
        <v>10594</v>
      </c>
      <c r="D5621" s="14">
        <v>1</v>
      </c>
      <c r="E5621" s="15">
        <v>287.51</v>
      </c>
      <c r="F5621" s="16" t="s">
        <v>4214</v>
      </c>
      <c r="G5621" s="14"/>
    </row>
    <row r="5622" spans="2:7" ht="11.25" outlineLevel="6" x14ac:dyDescent="0.2">
      <c r="B5622" s="14" t="s">
        <v>10595</v>
      </c>
      <c r="C5622" s="14" t="s">
        <v>10596</v>
      </c>
      <c r="D5622" s="14">
        <v>1</v>
      </c>
      <c r="E5622" s="15">
        <v>302.39999999999998</v>
      </c>
      <c r="F5622" s="16" t="s">
        <v>4214</v>
      </c>
      <c r="G5622" s="14"/>
    </row>
    <row r="5623" spans="2:7" ht="11.25" outlineLevel="6" x14ac:dyDescent="0.2">
      <c r="B5623" s="14" t="s">
        <v>10597</v>
      </c>
      <c r="C5623" s="14" t="s">
        <v>10598</v>
      </c>
      <c r="D5623" s="14">
        <v>1</v>
      </c>
      <c r="E5623" s="15">
        <v>327.48</v>
      </c>
      <c r="F5623" s="16" t="s">
        <v>4214</v>
      </c>
      <c r="G5623" s="14"/>
    </row>
    <row r="5624" spans="2:7" ht="11.25" outlineLevel="6" x14ac:dyDescent="0.2">
      <c r="B5624" s="14" t="s">
        <v>10599</v>
      </c>
      <c r="C5624" s="14" t="s">
        <v>10600</v>
      </c>
      <c r="D5624" s="14">
        <v>1</v>
      </c>
      <c r="E5624" s="15">
        <v>352.84</v>
      </c>
      <c r="F5624" s="16" t="s">
        <v>4214</v>
      </c>
      <c r="G5624" s="14"/>
    </row>
    <row r="5625" spans="2:7" ht="11.25" outlineLevel="6" x14ac:dyDescent="0.2">
      <c r="B5625" s="14" t="s">
        <v>10601</v>
      </c>
      <c r="C5625" s="14" t="s">
        <v>10602</v>
      </c>
      <c r="D5625" s="14">
        <v>1</v>
      </c>
      <c r="E5625" s="15">
        <v>377.63</v>
      </c>
      <c r="F5625" s="16" t="s">
        <v>4214</v>
      </c>
      <c r="G5625" s="14"/>
    </row>
    <row r="5626" spans="2:7" ht="11.25" outlineLevel="6" x14ac:dyDescent="0.2">
      <c r="B5626" s="14" t="s">
        <v>10603</v>
      </c>
      <c r="C5626" s="14" t="s">
        <v>10604</v>
      </c>
      <c r="D5626" s="14">
        <v>1</v>
      </c>
      <c r="E5626" s="15">
        <v>402.38</v>
      </c>
      <c r="F5626" s="16" t="s">
        <v>4214</v>
      </c>
      <c r="G5626" s="14"/>
    </row>
    <row r="5627" spans="2:7" ht="12" outlineLevel="5" x14ac:dyDescent="0.2">
      <c r="B5627" s="18"/>
      <c r="C5627" s="39" t="s">
        <v>10605</v>
      </c>
      <c r="D5627" s="18"/>
      <c r="E5627" s="19"/>
      <c r="F5627" s="19"/>
      <c r="G5627" s="18"/>
    </row>
    <row r="5628" spans="2:7" ht="11.25" outlineLevel="6" x14ac:dyDescent="0.2">
      <c r="B5628" s="14" t="s">
        <v>10606</v>
      </c>
      <c r="C5628" s="14" t="s">
        <v>10607</v>
      </c>
      <c r="D5628" s="14">
        <v>1</v>
      </c>
      <c r="E5628" s="15">
        <v>334.28</v>
      </c>
      <c r="F5628" s="16" t="s">
        <v>4214</v>
      </c>
      <c r="G5628" s="14"/>
    </row>
    <row r="5629" spans="2:7" ht="11.25" outlineLevel="6" x14ac:dyDescent="0.2">
      <c r="B5629" s="14" t="s">
        <v>10608</v>
      </c>
      <c r="C5629" s="14" t="s">
        <v>10609</v>
      </c>
      <c r="D5629" s="14">
        <v>1</v>
      </c>
      <c r="E5629" s="15">
        <v>366.77</v>
      </c>
      <c r="F5629" s="16" t="s">
        <v>4214</v>
      </c>
      <c r="G5629" s="14"/>
    </row>
    <row r="5630" spans="2:7" ht="11.25" outlineLevel="6" x14ac:dyDescent="0.2">
      <c r="B5630" s="14" t="s">
        <v>10610</v>
      </c>
      <c r="C5630" s="14" t="s">
        <v>10611</v>
      </c>
      <c r="D5630" s="14">
        <v>1</v>
      </c>
      <c r="E5630" s="15">
        <v>388.8</v>
      </c>
      <c r="F5630" s="16" t="s">
        <v>4214</v>
      </c>
      <c r="G5630" s="38" t="str">
        <f>HYPERLINK("http://enext.ua/3116450")</f>
        <v>http://enext.ua/3116450</v>
      </c>
    </row>
    <row r="5631" spans="2:7" ht="11.25" outlineLevel="6" x14ac:dyDescent="0.2">
      <c r="B5631" s="14" t="s">
        <v>10612</v>
      </c>
      <c r="C5631" s="14" t="s">
        <v>10613</v>
      </c>
      <c r="D5631" s="14">
        <v>1</v>
      </c>
      <c r="E5631" s="15">
        <v>408.18</v>
      </c>
      <c r="F5631" s="16" t="s">
        <v>4214</v>
      </c>
      <c r="G5631" s="38" t="str">
        <f>HYPERLINK("http://enext.ua/3117450")</f>
        <v>http://enext.ua/3117450</v>
      </c>
    </row>
    <row r="5632" spans="2:7" ht="11.25" outlineLevel="6" x14ac:dyDescent="0.2">
      <c r="B5632" s="14" t="s">
        <v>10614</v>
      </c>
      <c r="C5632" s="14" t="s">
        <v>10615</v>
      </c>
      <c r="D5632" s="14">
        <v>1</v>
      </c>
      <c r="E5632" s="15">
        <v>433.93</v>
      </c>
      <c r="F5632" s="16" t="s">
        <v>4214</v>
      </c>
      <c r="G5632" s="14"/>
    </row>
    <row r="5633" spans="2:7" ht="11.25" outlineLevel="6" x14ac:dyDescent="0.2">
      <c r="B5633" s="14" t="s">
        <v>10616</v>
      </c>
      <c r="C5633" s="14" t="s">
        <v>10617</v>
      </c>
      <c r="D5633" s="14">
        <v>1</v>
      </c>
      <c r="E5633" s="15">
        <v>455.27</v>
      </c>
      <c r="F5633" s="16" t="s">
        <v>4214</v>
      </c>
      <c r="G5633" s="14"/>
    </row>
    <row r="5634" spans="2:7" ht="12" outlineLevel="4" x14ac:dyDescent="0.2">
      <c r="B5634" s="12"/>
      <c r="C5634" s="37" t="s">
        <v>10618</v>
      </c>
      <c r="D5634" s="12"/>
      <c r="E5634" s="13"/>
      <c r="F5634" s="13"/>
      <c r="G5634" s="12"/>
    </row>
    <row r="5635" spans="2:7" ht="12" outlineLevel="5" x14ac:dyDescent="0.2">
      <c r="B5635" s="18"/>
      <c r="C5635" s="39" t="s">
        <v>10619</v>
      </c>
      <c r="D5635" s="18"/>
      <c r="E5635" s="19"/>
      <c r="F5635" s="19"/>
      <c r="G5635" s="18"/>
    </row>
    <row r="5636" spans="2:7" ht="11.25" outlineLevel="6" x14ac:dyDescent="0.2">
      <c r="B5636" s="14" t="s">
        <v>10620</v>
      </c>
      <c r="C5636" s="14" t="s">
        <v>10621</v>
      </c>
      <c r="D5636" s="14">
        <v>1</v>
      </c>
      <c r="E5636" s="15">
        <v>797.63</v>
      </c>
      <c r="F5636" s="16" t="s">
        <v>4214</v>
      </c>
      <c r="G5636" s="14"/>
    </row>
    <row r="5637" spans="2:7" ht="11.25" outlineLevel="6" x14ac:dyDescent="0.2">
      <c r="B5637" s="14" t="s">
        <v>10622</v>
      </c>
      <c r="C5637" s="14" t="s">
        <v>10623</v>
      </c>
      <c r="D5637" s="14">
        <v>1</v>
      </c>
      <c r="E5637" s="15">
        <v>808.58</v>
      </c>
      <c r="F5637" s="16" t="s">
        <v>4214</v>
      </c>
      <c r="G5637" s="14"/>
    </row>
    <row r="5638" spans="2:7" ht="11.25" outlineLevel="6" x14ac:dyDescent="0.2">
      <c r="B5638" s="14" t="s">
        <v>10624</v>
      </c>
      <c r="C5638" s="14" t="s">
        <v>10625</v>
      </c>
      <c r="D5638" s="14">
        <v>1</v>
      </c>
      <c r="E5638" s="15">
        <v>837.66</v>
      </c>
      <c r="F5638" s="16" t="s">
        <v>4214</v>
      </c>
      <c r="G5638" s="14"/>
    </row>
    <row r="5639" spans="2:7" ht="11.25" outlineLevel="6" x14ac:dyDescent="0.2">
      <c r="B5639" s="14" t="s">
        <v>10626</v>
      </c>
      <c r="C5639" s="14" t="s">
        <v>10627</v>
      </c>
      <c r="D5639" s="14">
        <v>1</v>
      </c>
      <c r="E5639" s="15">
        <v>848.63</v>
      </c>
      <c r="F5639" s="16" t="s">
        <v>4214</v>
      </c>
      <c r="G5639" s="14"/>
    </row>
    <row r="5640" spans="2:7" ht="11.25" outlineLevel="6" x14ac:dyDescent="0.2">
      <c r="B5640" s="14" t="s">
        <v>10628</v>
      </c>
      <c r="C5640" s="14" t="s">
        <v>10629</v>
      </c>
      <c r="D5640" s="14">
        <v>1</v>
      </c>
      <c r="E5640" s="15">
        <v>863.15</v>
      </c>
      <c r="F5640" s="16" t="s">
        <v>4214</v>
      </c>
      <c r="G5640" s="14"/>
    </row>
    <row r="5641" spans="2:7" ht="24" outlineLevel="5" x14ac:dyDescent="0.2">
      <c r="B5641" s="18"/>
      <c r="C5641" s="39" t="s">
        <v>10630</v>
      </c>
      <c r="D5641" s="18"/>
      <c r="E5641" s="19"/>
      <c r="F5641" s="19"/>
      <c r="G5641" s="18"/>
    </row>
    <row r="5642" spans="2:7" ht="11.25" outlineLevel="6" x14ac:dyDescent="0.2">
      <c r="B5642" s="14" t="s">
        <v>10631</v>
      </c>
      <c r="C5642" s="14" t="s">
        <v>10632</v>
      </c>
      <c r="D5642" s="14">
        <v>1</v>
      </c>
      <c r="E5642" s="15">
        <v>865.44</v>
      </c>
      <c r="F5642" s="16" t="s">
        <v>4214</v>
      </c>
      <c r="G5642" s="14"/>
    </row>
    <row r="5643" spans="2:7" ht="11.25" outlineLevel="6" x14ac:dyDescent="0.2">
      <c r="B5643" s="14" t="s">
        <v>10633</v>
      </c>
      <c r="C5643" s="14" t="s">
        <v>10634</v>
      </c>
      <c r="D5643" s="14">
        <v>1</v>
      </c>
      <c r="E5643" s="15">
        <v>849.01</v>
      </c>
      <c r="F5643" s="16" t="s">
        <v>4214</v>
      </c>
      <c r="G5643" s="14"/>
    </row>
    <row r="5644" spans="2:7" ht="11.25" outlineLevel="6" x14ac:dyDescent="0.2">
      <c r="B5644" s="14" t="s">
        <v>10635</v>
      </c>
      <c r="C5644" s="14" t="s">
        <v>10636</v>
      </c>
      <c r="D5644" s="14">
        <v>1</v>
      </c>
      <c r="E5644" s="15">
        <v>896.28</v>
      </c>
      <c r="F5644" s="16" t="s">
        <v>4214</v>
      </c>
      <c r="G5644" s="14"/>
    </row>
    <row r="5645" spans="2:7" ht="11.25" outlineLevel="6" x14ac:dyDescent="0.2">
      <c r="B5645" s="14" t="s">
        <v>10637</v>
      </c>
      <c r="C5645" s="14" t="s">
        <v>10638</v>
      </c>
      <c r="D5645" s="14">
        <v>1</v>
      </c>
      <c r="E5645" s="15">
        <v>908.02</v>
      </c>
      <c r="F5645" s="16" t="s">
        <v>4214</v>
      </c>
      <c r="G5645" s="14"/>
    </row>
    <row r="5646" spans="2:7" ht="11.25" outlineLevel="6" x14ac:dyDescent="0.2">
      <c r="B5646" s="14" t="s">
        <v>10639</v>
      </c>
      <c r="C5646" s="14" t="s">
        <v>10640</v>
      </c>
      <c r="D5646" s="14">
        <v>1</v>
      </c>
      <c r="E5646" s="15">
        <v>923.58</v>
      </c>
      <c r="F5646" s="16" t="s">
        <v>4214</v>
      </c>
      <c r="G5646" s="14"/>
    </row>
    <row r="5647" spans="2:7" ht="12" outlineLevel="3" x14ac:dyDescent="0.2">
      <c r="B5647" s="10"/>
      <c r="C5647" s="36" t="s">
        <v>10641</v>
      </c>
      <c r="D5647" s="10"/>
      <c r="E5647" s="11"/>
      <c r="F5647" s="11"/>
      <c r="G5647" s="10"/>
    </row>
    <row r="5648" spans="2:7" ht="12" outlineLevel="4" x14ac:dyDescent="0.2">
      <c r="B5648" s="12"/>
      <c r="C5648" s="37" t="s">
        <v>10642</v>
      </c>
      <c r="D5648" s="12"/>
      <c r="E5648" s="13"/>
      <c r="F5648" s="13"/>
      <c r="G5648" s="12"/>
    </row>
    <row r="5649" spans="2:7" ht="12" outlineLevel="5" x14ac:dyDescent="0.2">
      <c r="B5649" s="18"/>
      <c r="C5649" s="39" t="s">
        <v>10643</v>
      </c>
      <c r="D5649" s="18"/>
      <c r="E5649" s="19"/>
      <c r="F5649" s="19"/>
      <c r="G5649" s="18"/>
    </row>
    <row r="5650" spans="2:7" ht="11.25" outlineLevel="6" x14ac:dyDescent="0.2">
      <c r="B5650" s="14" t="s">
        <v>10644</v>
      </c>
      <c r="C5650" s="14" t="s">
        <v>10645</v>
      </c>
      <c r="D5650" s="14">
        <v>1</v>
      </c>
      <c r="E5650" s="15">
        <v>572.22</v>
      </c>
      <c r="F5650" s="16" t="s">
        <v>8</v>
      </c>
      <c r="G5650" s="14"/>
    </row>
    <row r="5651" spans="2:7" ht="11.25" outlineLevel="6" x14ac:dyDescent="0.2">
      <c r="B5651" s="14" t="s">
        <v>10646</v>
      </c>
      <c r="C5651" s="14" t="s">
        <v>10647</v>
      </c>
      <c r="D5651" s="14">
        <v>1</v>
      </c>
      <c r="E5651" s="15">
        <v>673.22</v>
      </c>
      <c r="F5651" s="16" t="s">
        <v>8</v>
      </c>
      <c r="G5651" s="14"/>
    </row>
    <row r="5652" spans="2:7" ht="11.25" outlineLevel="6" x14ac:dyDescent="0.2">
      <c r="B5652" s="14" t="s">
        <v>10648</v>
      </c>
      <c r="C5652" s="14" t="s">
        <v>10649</v>
      </c>
      <c r="D5652" s="14">
        <v>1</v>
      </c>
      <c r="E5652" s="15">
        <v>740.03</v>
      </c>
      <c r="F5652" s="16" t="s">
        <v>8</v>
      </c>
      <c r="G5652" s="14"/>
    </row>
    <row r="5653" spans="2:7" ht="11.25" outlineLevel="6" x14ac:dyDescent="0.2">
      <c r="B5653" s="14" t="s">
        <v>10650</v>
      </c>
      <c r="C5653" s="14" t="s">
        <v>10651</v>
      </c>
      <c r="D5653" s="14">
        <v>1</v>
      </c>
      <c r="E5653" s="15">
        <v>807.66</v>
      </c>
      <c r="F5653" s="16" t="s">
        <v>8</v>
      </c>
      <c r="G5653" s="14"/>
    </row>
    <row r="5654" spans="2:7" ht="11.25" outlineLevel="6" x14ac:dyDescent="0.2">
      <c r="B5654" s="14" t="s">
        <v>10652</v>
      </c>
      <c r="C5654" s="14" t="s">
        <v>10653</v>
      </c>
      <c r="D5654" s="14">
        <v>1</v>
      </c>
      <c r="E5654" s="15">
        <v>892</v>
      </c>
      <c r="F5654" s="16" t="s">
        <v>8</v>
      </c>
      <c r="G5654" s="38" t="str">
        <f>HYPERLINK("http://enext.ua/3219250")</f>
        <v>http://enext.ua/3219250</v>
      </c>
    </row>
    <row r="5655" spans="2:7" ht="12" outlineLevel="5" x14ac:dyDescent="0.2">
      <c r="B5655" s="18"/>
      <c r="C5655" s="39" t="s">
        <v>10654</v>
      </c>
      <c r="D5655" s="18"/>
      <c r="E5655" s="19"/>
      <c r="F5655" s="19"/>
      <c r="G5655" s="18"/>
    </row>
    <row r="5656" spans="2:7" ht="11.25" outlineLevel="6" x14ac:dyDescent="0.2">
      <c r="B5656" s="14" t="s">
        <v>10655</v>
      </c>
      <c r="C5656" s="14" t="s">
        <v>10656</v>
      </c>
      <c r="D5656" s="14">
        <v>1</v>
      </c>
      <c r="E5656" s="15">
        <v>803.54</v>
      </c>
      <c r="F5656" s="16" t="s">
        <v>8</v>
      </c>
      <c r="G5656" s="14"/>
    </row>
    <row r="5657" spans="2:7" ht="11.25" outlineLevel="6" x14ac:dyDescent="0.2">
      <c r="B5657" s="14" t="s">
        <v>10657</v>
      </c>
      <c r="C5657" s="14" t="s">
        <v>10658</v>
      </c>
      <c r="D5657" s="14">
        <v>1</v>
      </c>
      <c r="E5657" s="15">
        <v>883.76</v>
      </c>
      <c r="F5657" s="16" t="s">
        <v>8</v>
      </c>
      <c r="G5657" s="14"/>
    </row>
    <row r="5658" spans="2:7" ht="11.25" outlineLevel="6" x14ac:dyDescent="0.2">
      <c r="B5658" s="14" t="s">
        <v>10659</v>
      </c>
      <c r="C5658" s="14" t="s">
        <v>10660</v>
      </c>
      <c r="D5658" s="14">
        <v>1</v>
      </c>
      <c r="E5658" s="15">
        <v>977.44</v>
      </c>
      <c r="F5658" s="16" t="s">
        <v>8</v>
      </c>
      <c r="G5658" s="14"/>
    </row>
    <row r="5659" spans="2:7" ht="11.25" outlineLevel="6" x14ac:dyDescent="0.2">
      <c r="B5659" s="14" t="s">
        <v>10661</v>
      </c>
      <c r="C5659" s="14" t="s">
        <v>10662</v>
      </c>
      <c r="D5659" s="14">
        <v>1</v>
      </c>
      <c r="E5659" s="17">
        <v>1037.22</v>
      </c>
      <c r="F5659" s="16" t="s">
        <v>8</v>
      </c>
      <c r="G5659" s="14"/>
    </row>
    <row r="5660" spans="2:7" ht="11.25" outlineLevel="6" x14ac:dyDescent="0.2">
      <c r="B5660" s="14" t="s">
        <v>10663</v>
      </c>
      <c r="C5660" s="14" t="s">
        <v>10664</v>
      </c>
      <c r="D5660" s="14">
        <v>1</v>
      </c>
      <c r="E5660" s="17">
        <v>1160.6600000000001</v>
      </c>
      <c r="F5660" s="16" t="s">
        <v>8</v>
      </c>
      <c r="G5660" s="14"/>
    </row>
    <row r="5661" spans="2:7" ht="12" outlineLevel="5" x14ac:dyDescent="0.2">
      <c r="B5661" s="18"/>
      <c r="C5661" s="39" t="s">
        <v>10665</v>
      </c>
      <c r="D5661" s="18"/>
      <c r="E5661" s="19"/>
      <c r="F5661" s="19"/>
      <c r="G5661" s="18"/>
    </row>
    <row r="5662" spans="2:7" ht="11.25" outlineLevel="6" x14ac:dyDescent="0.2">
      <c r="B5662" s="14" t="s">
        <v>10666</v>
      </c>
      <c r="C5662" s="14" t="s">
        <v>10667</v>
      </c>
      <c r="D5662" s="14">
        <v>1</v>
      </c>
      <c r="E5662" s="15">
        <v>835.46</v>
      </c>
      <c r="F5662" s="16" t="s">
        <v>8</v>
      </c>
      <c r="G5662" s="14"/>
    </row>
    <row r="5663" spans="2:7" ht="11.25" outlineLevel="6" x14ac:dyDescent="0.2">
      <c r="B5663" s="14" t="s">
        <v>10668</v>
      </c>
      <c r="C5663" s="14" t="s">
        <v>10669</v>
      </c>
      <c r="D5663" s="14">
        <v>1</v>
      </c>
      <c r="E5663" s="15">
        <v>916.16</v>
      </c>
      <c r="F5663" s="16" t="s">
        <v>8</v>
      </c>
      <c r="G5663" s="14"/>
    </row>
    <row r="5664" spans="2:7" ht="11.25" outlineLevel="6" x14ac:dyDescent="0.2">
      <c r="B5664" s="14" t="s">
        <v>10670</v>
      </c>
      <c r="C5664" s="14" t="s">
        <v>10671</v>
      </c>
      <c r="D5664" s="14">
        <v>1</v>
      </c>
      <c r="E5664" s="17">
        <v>1013.35</v>
      </c>
      <c r="F5664" s="16" t="s">
        <v>8</v>
      </c>
      <c r="G5664" s="14"/>
    </row>
    <row r="5665" spans="2:7" ht="11.25" outlineLevel="6" x14ac:dyDescent="0.2">
      <c r="B5665" s="14" t="s">
        <v>10672</v>
      </c>
      <c r="C5665" s="14" t="s">
        <v>10673</v>
      </c>
      <c r="D5665" s="14">
        <v>1</v>
      </c>
      <c r="E5665" s="17">
        <v>1076.7</v>
      </c>
      <c r="F5665" s="16" t="s">
        <v>8</v>
      </c>
      <c r="G5665" s="14"/>
    </row>
    <row r="5666" spans="2:7" ht="11.25" outlineLevel="6" x14ac:dyDescent="0.2">
      <c r="B5666" s="14" t="s">
        <v>10674</v>
      </c>
      <c r="C5666" s="14" t="s">
        <v>10675</v>
      </c>
      <c r="D5666" s="14">
        <v>1</v>
      </c>
      <c r="E5666" s="17">
        <v>1205.8399999999999</v>
      </c>
      <c r="F5666" s="16" t="s">
        <v>8</v>
      </c>
      <c r="G5666" s="14"/>
    </row>
    <row r="5667" spans="2:7" ht="12" outlineLevel="4" x14ac:dyDescent="0.2">
      <c r="B5667" s="12"/>
      <c r="C5667" s="37" t="s">
        <v>10676</v>
      </c>
      <c r="D5667" s="12"/>
      <c r="E5667" s="13"/>
      <c r="F5667" s="13"/>
      <c r="G5667" s="12"/>
    </row>
    <row r="5668" spans="2:7" ht="12" outlineLevel="5" x14ac:dyDescent="0.2">
      <c r="B5668" s="18"/>
      <c r="C5668" s="39" t="s">
        <v>10677</v>
      </c>
      <c r="D5668" s="18"/>
      <c r="E5668" s="19"/>
      <c r="F5668" s="19"/>
      <c r="G5668" s="18"/>
    </row>
    <row r="5669" spans="2:7" ht="11.25" outlineLevel="6" x14ac:dyDescent="0.2">
      <c r="B5669" s="14" t="s">
        <v>10678</v>
      </c>
      <c r="C5669" s="14" t="s">
        <v>10679</v>
      </c>
      <c r="D5669" s="14">
        <v>1</v>
      </c>
      <c r="E5669" s="15">
        <v>857.77</v>
      </c>
      <c r="F5669" s="16" t="s">
        <v>8</v>
      </c>
      <c r="G5669" s="14"/>
    </row>
    <row r="5670" spans="2:7" ht="11.25" outlineLevel="6" x14ac:dyDescent="0.2">
      <c r="B5670" s="14" t="s">
        <v>10680</v>
      </c>
      <c r="C5670" s="14" t="s">
        <v>10681</v>
      </c>
      <c r="D5670" s="14">
        <v>1</v>
      </c>
      <c r="E5670" s="15">
        <v>941.98</v>
      </c>
      <c r="F5670" s="16" t="s">
        <v>8</v>
      </c>
      <c r="G5670" s="14"/>
    </row>
    <row r="5671" spans="2:7" ht="11.25" outlineLevel="6" x14ac:dyDescent="0.2">
      <c r="B5671" s="14" t="s">
        <v>10682</v>
      </c>
      <c r="C5671" s="14" t="s">
        <v>10683</v>
      </c>
      <c r="D5671" s="14">
        <v>1</v>
      </c>
      <c r="E5671" s="17">
        <v>1057.56</v>
      </c>
      <c r="F5671" s="16" t="s">
        <v>8</v>
      </c>
      <c r="G5671" s="14"/>
    </row>
    <row r="5672" spans="2:7" ht="11.25" outlineLevel="6" x14ac:dyDescent="0.2">
      <c r="B5672" s="14" t="s">
        <v>10684</v>
      </c>
      <c r="C5672" s="14" t="s">
        <v>10685</v>
      </c>
      <c r="D5672" s="14">
        <v>1</v>
      </c>
      <c r="E5672" s="17">
        <v>1184.03</v>
      </c>
      <c r="F5672" s="16" t="s">
        <v>8</v>
      </c>
      <c r="G5672" s="14"/>
    </row>
    <row r="5673" spans="2:7" ht="11.25" outlineLevel="6" x14ac:dyDescent="0.2">
      <c r="B5673" s="14" t="s">
        <v>10686</v>
      </c>
      <c r="C5673" s="14" t="s">
        <v>10687</v>
      </c>
      <c r="D5673" s="14">
        <v>1</v>
      </c>
      <c r="E5673" s="17">
        <v>1290.5999999999999</v>
      </c>
      <c r="F5673" s="16" t="s">
        <v>8</v>
      </c>
      <c r="G5673" s="14"/>
    </row>
    <row r="5674" spans="2:7" ht="12" outlineLevel="5" x14ac:dyDescent="0.2">
      <c r="B5674" s="18"/>
      <c r="C5674" s="39" t="s">
        <v>10688</v>
      </c>
      <c r="D5674" s="18"/>
      <c r="E5674" s="19"/>
      <c r="F5674" s="19"/>
      <c r="G5674" s="18"/>
    </row>
    <row r="5675" spans="2:7" ht="11.25" outlineLevel="6" x14ac:dyDescent="0.2">
      <c r="B5675" s="14" t="s">
        <v>10689</v>
      </c>
      <c r="C5675" s="14" t="s">
        <v>10690</v>
      </c>
      <c r="D5675" s="14">
        <v>1</v>
      </c>
      <c r="E5675" s="17">
        <v>1211.3900000000001</v>
      </c>
      <c r="F5675" s="16" t="s">
        <v>8</v>
      </c>
      <c r="G5675" s="14"/>
    </row>
    <row r="5676" spans="2:7" ht="11.25" outlineLevel="6" x14ac:dyDescent="0.2">
      <c r="B5676" s="14" t="s">
        <v>10691</v>
      </c>
      <c r="C5676" s="14" t="s">
        <v>10692</v>
      </c>
      <c r="D5676" s="14">
        <v>1</v>
      </c>
      <c r="E5676" s="17">
        <v>1295.1600000000001</v>
      </c>
      <c r="F5676" s="16" t="s">
        <v>8</v>
      </c>
      <c r="G5676" s="14"/>
    </row>
    <row r="5677" spans="2:7" ht="11.25" outlineLevel="6" x14ac:dyDescent="0.2">
      <c r="B5677" s="14" t="s">
        <v>10693</v>
      </c>
      <c r="C5677" s="14" t="s">
        <v>10694</v>
      </c>
      <c r="D5677" s="14">
        <v>1</v>
      </c>
      <c r="E5677" s="17">
        <v>1396.12</v>
      </c>
      <c r="F5677" s="16" t="s">
        <v>8</v>
      </c>
      <c r="G5677" s="14"/>
    </row>
    <row r="5678" spans="2:7" ht="11.25" outlineLevel="6" x14ac:dyDescent="0.2">
      <c r="B5678" s="14" t="s">
        <v>10695</v>
      </c>
      <c r="C5678" s="14" t="s">
        <v>10696</v>
      </c>
      <c r="D5678" s="14">
        <v>1</v>
      </c>
      <c r="E5678" s="17">
        <v>1531.07</v>
      </c>
      <c r="F5678" s="16" t="s">
        <v>8</v>
      </c>
      <c r="G5678" s="14"/>
    </row>
    <row r="5679" spans="2:7" ht="11.25" outlineLevel="6" x14ac:dyDescent="0.2">
      <c r="B5679" s="14" t="s">
        <v>10697</v>
      </c>
      <c r="C5679" s="14" t="s">
        <v>10698</v>
      </c>
      <c r="D5679" s="14">
        <v>1</v>
      </c>
      <c r="E5679" s="17">
        <v>1632.04</v>
      </c>
      <c r="F5679" s="16" t="s">
        <v>8</v>
      </c>
      <c r="G5679" s="14"/>
    </row>
    <row r="5680" spans="2:7" ht="12" outlineLevel="5" x14ac:dyDescent="0.2">
      <c r="B5680" s="18"/>
      <c r="C5680" s="39" t="s">
        <v>10699</v>
      </c>
      <c r="D5680" s="18"/>
      <c r="E5680" s="19"/>
      <c r="F5680" s="19"/>
      <c r="G5680" s="18"/>
    </row>
    <row r="5681" spans="2:7" ht="11.25" outlineLevel="6" x14ac:dyDescent="0.2">
      <c r="B5681" s="14" t="s">
        <v>10700</v>
      </c>
      <c r="C5681" s="14" t="s">
        <v>10701</v>
      </c>
      <c r="D5681" s="14">
        <v>1</v>
      </c>
      <c r="E5681" s="17">
        <v>1261.6400000000001</v>
      </c>
      <c r="F5681" s="16" t="s">
        <v>8</v>
      </c>
      <c r="G5681" s="14"/>
    </row>
    <row r="5682" spans="2:7" ht="11.25" outlineLevel="6" x14ac:dyDescent="0.2">
      <c r="B5682" s="14" t="s">
        <v>10702</v>
      </c>
      <c r="C5682" s="14" t="s">
        <v>10703</v>
      </c>
      <c r="D5682" s="14">
        <v>1</v>
      </c>
      <c r="E5682" s="17">
        <v>1362.62</v>
      </c>
      <c r="F5682" s="16" t="s">
        <v>8</v>
      </c>
      <c r="G5682" s="38" t="str">
        <f>HYPERLINK("http://enext.ua/3326450")</f>
        <v>http://enext.ua/3326450</v>
      </c>
    </row>
    <row r="5683" spans="2:7" ht="11.25" outlineLevel="6" x14ac:dyDescent="0.2">
      <c r="B5683" s="14" t="s">
        <v>10704</v>
      </c>
      <c r="C5683" s="14" t="s">
        <v>10705</v>
      </c>
      <c r="D5683" s="14">
        <v>1</v>
      </c>
      <c r="E5683" s="17">
        <v>1463.6</v>
      </c>
      <c r="F5683" s="16" t="s">
        <v>8</v>
      </c>
      <c r="G5683" s="14"/>
    </row>
    <row r="5684" spans="2:7" ht="11.25" outlineLevel="6" x14ac:dyDescent="0.2">
      <c r="B5684" s="14" t="s">
        <v>10706</v>
      </c>
      <c r="C5684" s="14" t="s">
        <v>10707</v>
      </c>
      <c r="D5684" s="14">
        <v>1</v>
      </c>
      <c r="E5684" s="17">
        <v>1598.04</v>
      </c>
      <c r="F5684" s="16" t="s">
        <v>8</v>
      </c>
      <c r="G5684" s="14"/>
    </row>
    <row r="5685" spans="2:7" ht="11.25" outlineLevel="6" x14ac:dyDescent="0.2">
      <c r="B5685" s="14" t="s">
        <v>10708</v>
      </c>
      <c r="C5685" s="14" t="s">
        <v>10709</v>
      </c>
      <c r="D5685" s="14">
        <v>1</v>
      </c>
      <c r="E5685" s="17">
        <v>1698.77</v>
      </c>
      <c r="F5685" s="16" t="s">
        <v>8</v>
      </c>
      <c r="G5685" s="14"/>
    </row>
    <row r="5686" spans="2:7" ht="12" outlineLevel="4" x14ac:dyDescent="0.2">
      <c r="B5686" s="12"/>
      <c r="C5686" s="37" t="s">
        <v>10710</v>
      </c>
      <c r="D5686" s="12"/>
      <c r="E5686" s="13"/>
      <c r="F5686" s="13"/>
      <c r="G5686" s="12"/>
    </row>
    <row r="5687" spans="2:7" ht="12" outlineLevel="5" x14ac:dyDescent="0.2">
      <c r="B5687" s="18"/>
      <c r="C5687" s="39" t="s">
        <v>10711</v>
      </c>
      <c r="D5687" s="18"/>
      <c r="E5687" s="19"/>
      <c r="F5687" s="19"/>
      <c r="G5687" s="18"/>
    </row>
    <row r="5688" spans="2:7" ht="11.25" outlineLevel="6" x14ac:dyDescent="0.2">
      <c r="B5688" s="14" t="s">
        <v>10712</v>
      </c>
      <c r="C5688" s="14" t="s">
        <v>10713</v>
      </c>
      <c r="D5688" s="14">
        <v>1</v>
      </c>
      <c r="E5688" s="17">
        <v>1295.1600000000001</v>
      </c>
      <c r="F5688" s="16" t="s">
        <v>8</v>
      </c>
      <c r="G5688" s="14"/>
    </row>
    <row r="5689" spans="2:7" ht="11.25" outlineLevel="6" x14ac:dyDescent="0.2">
      <c r="B5689" s="14" t="s">
        <v>10714</v>
      </c>
      <c r="C5689" s="14" t="s">
        <v>10715</v>
      </c>
      <c r="D5689" s="14">
        <v>1</v>
      </c>
      <c r="E5689" s="17">
        <v>1463.6</v>
      </c>
      <c r="F5689" s="16" t="s">
        <v>8</v>
      </c>
      <c r="G5689" s="14"/>
    </row>
    <row r="5690" spans="2:7" ht="11.25" outlineLevel="6" x14ac:dyDescent="0.2">
      <c r="B5690" s="14" t="s">
        <v>10716</v>
      </c>
      <c r="C5690" s="14" t="s">
        <v>10717</v>
      </c>
      <c r="D5690" s="14">
        <v>1</v>
      </c>
      <c r="E5690" s="17">
        <v>1615.27</v>
      </c>
      <c r="F5690" s="16" t="s">
        <v>8</v>
      </c>
      <c r="G5690" s="14"/>
    </row>
    <row r="5691" spans="2:7" ht="11.25" outlineLevel="6" x14ac:dyDescent="0.2">
      <c r="B5691" s="14" t="s">
        <v>10718</v>
      </c>
      <c r="C5691" s="14" t="s">
        <v>10719</v>
      </c>
      <c r="D5691" s="14">
        <v>1</v>
      </c>
      <c r="E5691" s="17">
        <v>1733.02</v>
      </c>
      <c r="F5691" s="16" t="s">
        <v>8</v>
      </c>
      <c r="G5691" s="14"/>
    </row>
    <row r="5692" spans="2:7" ht="11.25" outlineLevel="6" x14ac:dyDescent="0.2">
      <c r="B5692" s="14" t="s">
        <v>10720</v>
      </c>
      <c r="C5692" s="14" t="s">
        <v>10721</v>
      </c>
      <c r="D5692" s="14">
        <v>1</v>
      </c>
      <c r="E5692" s="17">
        <v>1850.47</v>
      </c>
      <c r="F5692" s="16" t="s">
        <v>8</v>
      </c>
      <c r="G5692" s="14"/>
    </row>
    <row r="5693" spans="2:7" ht="12" outlineLevel="5" x14ac:dyDescent="0.2">
      <c r="B5693" s="18"/>
      <c r="C5693" s="39" t="s">
        <v>10722</v>
      </c>
      <c r="D5693" s="18"/>
      <c r="E5693" s="19"/>
      <c r="F5693" s="19"/>
      <c r="G5693" s="18"/>
    </row>
    <row r="5694" spans="2:7" ht="11.25" outlineLevel="6" x14ac:dyDescent="0.2">
      <c r="B5694" s="14" t="s">
        <v>10723</v>
      </c>
      <c r="C5694" s="14" t="s">
        <v>10724</v>
      </c>
      <c r="D5694" s="14">
        <v>1</v>
      </c>
      <c r="E5694" s="17">
        <v>1799.72</v>
      </c>
      <c r="F5694" s="16" t="s">
        <v>8</v>
      </c>
      <c r="G5694" s="14"/>
    </row>
    <row r="5695" spans="2:7" ht="11.25" outlineLevel="6" x14ac:dyDescent="0.2">
      <c r="B5695" s="14" t="s">
        <v>10725</v>
      </c>
      <c r="C5695" s="14" t="s">
        <v>10726</v>
      </c>
      <c r="D5695" s="14">
        <v>1</v>
      </c>
      <c r="E5695" s="17">
        <v>1934.94</v>
      </c>
      <c r="F5695" s="16" t="s">
        <v>8</v>
      </c>
      <c r="G5695" s="14"/>
    </row>
    <row r="5696" spans="2:7" ht="11.25" outlineLevel="6" x14ac:dyDescent="0.2">
      <c r="B5696" s="14" t="s">
        <v>10727</v>
      </c>
      <c r="C5696" s="14" t="s">
        <v>10728</v>
      </c>
      <c r="D5696" s="14">
        <v>1</v>
      </c>
      <c r="E5696" s="17">
        <v>2085.91</v>
      </c>
      <c r="F5696" s="16" t="s">
        <v>8</v>
      </c>
      <c r="G5696" s="14"/>
    </row>
    <row r="5697" spans="2:7" ht="11.25" outlineLevel="6" x14ac:dyDescent="0.2">
      <c r="B5697" s="14" t="s">
        <v>10729</v>
      </c>
      <c r="C5697" s="14" t="s">
        <v>10730</v>
      </c>
      <c r="D5697" s="14">
        <v>1</v>
      </c>
      <c r="E5697" s="17">
        <v>2220.84</v>
      </c>
      <c r="F5697" s="16" t="s">
        <v>8</v>
      </c>
      <c r="G5697" s="14"/>
    </row>
    <row r="5698" spans="2:7" ht="11.25" outlineLevel="6" x14ac:dyDescent="0.2">
      <c r="B5698" s="14" t="s">
        <v>10731</v>
      </c>
      <c r="C5698" s="14" t="s">
        <v>10732</v>
      </c>
      <c r="D5698" s="14">
        <v>1</v>
      </c>
      <c r="E5698" s="17">
        <v>2338.81</v>
      </c>
      <c r="F5698" s="16" t="s">
        <v>8</v>
      </c>
      <c r="G5698" s="14"/>
    </row>
    <row r="5699" spans="2:7" ht="12" outlineLevel="5" x14ac:dyDescent="0.2">
      <c r="B5699" s="18"/>
      <c r="C5699" s="39" t="s">
        <v>10733</v>
      </c>
      <c r="D5699" s="18"/>
      <c r="E5699" s="19"/>
      <c r="F5699" s="19"/>
      <c r="G5699" s="18"/>
    </row>
    <row r="5700" spans="2:7" ht="11.25" outlineLevel="6" x14ac:dyDescent="0.2">
      <c r="B5700" s="14" t="s">
        <v>10734</v>
      </c>
      <c r="C5700" s="14" t="s">
        <v>10735</v>
      </c>
      <c r="D5700" s="14">
        <v>1</v>
      </c>
      <c r="E5700" s="17">
        <v>1867.46</v>
      </c>
      <c r="F5700" s="16" t="s">
        <v>8</v>
      </c>
      <c r="G5700" s="14"/>
    </row>
    <row r="5701" spans="2:7" ht="11.25" outlineLevel="6" x14ac:dyDescent="0.2">
      <c r="B5701" s="14" t="s">
        <v>10736</v>
      </c>
      <c r="C5701" s="14" t="s">
        <v>10737</v>
      </c>
      <c r="D5701" s="14">
        <v>1</v>
      </c>
      <c r="E5701" s="17">
        <v>2018.69</v>
      </c>
      <c r="F5701" s="16" t="s">
        <v>8</v>
      </c>
      <c r="G5701" s="14"/>
    </row>
    <row r="5702" spans="2:7" ht="11.25" outlineLevel="6" x14ac:dyDescent="0.2">
      <c r="B5702" s="14" t="s">
        <v>10738</v>
      </c>
      <c r="C5702" s="14" t="s">
        <v>10739</v>
      </c>
      <c r="D5702" s="14">
        <v>1</v>
      </c>
      <c r="E5702" s="17">
        <v>2153.6</v>
      </c>
      <c r="F5702" s="16" t="s">
        <v>8</v>
      </c>
      <c r="G5702" s="14"/>
    </row>
    <row r="5703" spans="2:7" ht="11.25" outlineLevel="6" x14ac:dyDescent="0.2">
      <c r="B5703" s="14" t="s">
        <v>10740</v>
      </c>
      <c r="C5703" s="14" t="s">
        <v>10741</v>
      </c>
      <c r="D5703" s="14">
        <v>1</v>
      </c>
      <c r="E5703" s="17">
        <v>2304.83</v>
      </c>
      <c r="F5703" s="16" t="s">
        <v>8</v>
      </c>
      <c r="G5703" s="14"/>
    </row>
    <row r="5704" spans="2:7" ht="11.25" outlineLevel="6" x14ac:dyDescent="0.2">
      <c r="B5704" s="14" t="s">
        <v>10742</v>
      </c>
      <c r="C5704" s="14" t="s">
        <v>10743</v>
      </c>
      <c r="D5704" s="14">
        <v>1</v>
      </c>
      <c r="E5704" s="17">
        <v>2405.5700000000002</v>
      </c>
      <c r="F5704" s="16" t="s">
        <v>8</v>
      </c>
      <c r="G5704" s="14"/>
    </row>
    <row r="5705" spans="2:7" ht="12" outlineLevel="4" x14ac:dyDescent="0.2">
      <c r="B5705" s="12"/>
      <c r="C5705" s="37" t="s">
        <v>10744</v>
      </c>
      <c r="D5705" s="12"/>
      <c r="E5705" s="13"/>
      <c r="F5705" s="13"/>
      <c r="G5705" s="12"/>
    </row>
    <row r="5706" spans="2:7" ht="11.25" outlineLevel="5" x14ac:dyDescent="0.2">
      <c r="B5706" s="14" t="s">
        <v>10745</v>
      </c>
      <c r="C5706" s="14" t="s">
        <v>10746</v>
      </c>
      <c r="D5706" s="14">
        <v>1</v>
      </c>
      <c r="E5706" s="15">
        <v>76.760000000000005</v>
      </c>
      <c r="F5706" s="16" t="s">
        <v>8</v>
      </c>
      <c r="G5706" s="14"/>
    </row>
    <row r="5707" spans="2:7" ht="11.25" outlineLevel="5" x14ac:dyDescent="0.2">
      <c r="B5707" s="14" t="s">
        <v>10747</v>
      </c>
      <c r="C5707" s="14" t="s">
        <v>10748</v>
      </c>
      <c r="D5707" s="14">
        <v>1</v>
      </c>
      <c r="E5707" s="15">
        <v>50.12</v>
      </c>
      <c r="F5707" s="16" t="s">
        <v>8</v>
      </c>
      <c r="G5707" s="14"/>
    </row>
    <row r="5708" spans="2:7" ht="11.25" outlineLevel="5" x14ac:dyDescent="0.2">
      <c r="B5708" s="14" t="s">
        <v>10749</v>
      </c>
      <c r="C5708" s="14" t="s">
        <v>10750</v>
      </c>
      <c r="D5708" s="14">
        <v>1</v>
      </c>
      <c r="E5708" s="15">
        <v>68.64</v>
      </c>
      <c r="F5708" s="16" t="s">
        <v>8</v>
      </c>
      <c r="G5708" s="14"/>
    </row>
    <row r="5709" spans="2:7" ht="12" outlineLevel="4" x14ac:dyDescent="0.2">
      <c r="B5709" s="12"/>
      <c r="C5709" s="37" t="s">
        <v>10751</v>
      </c>
      <c r="D5709" s="12"/>
      <c r="E5709" s="13"/>
      <c r="F5709" s="13"/>
      <c r="G5709" s="12"/>
    </row>
    <row r="5710" spans="2:7" ht="11.25" outlineLevel="5" x14ac:dyDescent="0.2">
      <c r="B5710" s="14" t="s">
        <v>10752</v>
      </c>
      <c r="C5710" s="14" t="s">
        <v>10753</v>
      </c>
      <c r="D5710" s="14">
        <v>1</v>
      </c>
      <c r="E5710" s="15">
        <v>45.68</v>
      </c>
      <c r="F5710" s="16" t="s">
        <v>8</v>
      </c>
      <c r="G5710" s="14"/>
    </row>
    <row r="5711" spans="2:7" ht="11.25" outlineLevel="5" x14ac:dyDescent="0.2">
      <c r="B5711" s="14" t="s">
        <v>10754</v>
      </c>
      <c r="C5711" s="14" t="s">
        <v>10755</v>
      </c>
      <c r="D5711" s="14">
        <v>1</v>
      </c>
      <c r="E5711" s="15">
        <v>26.11</v>
      </c>
      <c r="F5711" s="16" t="s">
        <v>8</v>
      </c>
      <c r="G5711" s="38" t="str">
        <f>HYPERLINK("http://enext.ua/3510240")</f>
        <v>http://enext.ua/3510240</v>
      </c>
    </row>
    <row r="5712" spans="2:7" ht="11.25" outlineLevel="5" x14ac:dyDescent="0.2">
      <c r="B5712" s="14" t="s">
        <v>10756</v>
      </c>
      <c r="C5712" s="14" t="s">
        <v>10757</v>
      </c>
      <c r="D5712" s="14">
        <v>1</v>
      </c>
      <c r="E5712" s="15">
        <v>37.6</v>
      </c>
      <c r="F5712" s="16" t="s">
        <v>8</v>
      </c>
      <c r="G5712" s="14"/>
    </row>
    <row r="5713" spans="2:7" ht="11.25" outlineLevel="5" x14ac:dyDescent="0.2">
      <c r="B5713" s="14" t="s">
        <v>10758</v>
      </c>
      <c r="C5713" s="14" t="s">
        <v>10759</v>
      </c>
      <c r="D5713" s="14">
        <v>1</v>
      </c>
      <c r="E5713" s="15">
        <v>63.98</v>
      </c>
      <c r="F5713" s="16" t="s">
        <v>8</v>
      </c>
      <c r="G5713" s="14"/>
    </row>
    <row r="5714" spans="2:7" ht="11.25" outlineLevel="5" x14ac:dyDescent="0.2">
      <c r="B5714" s="14" t="s">
        <v>10760</v>
      </c>
      <c r="C5714" s="14" t="s">
        <v>10761</v>
      </c>
      <c r="D5714" s="14">
        <v>1</v>
      </c>
      <c r="E5714" s="15">
        <v>33.11</v>
      </c>
      <c r="F5714" s="16" t="s">
        <v>8</v>
      </c>
      <c r="G5714" s="14"/>
    </row>
    <row r="5715" spans="2:7" ht="11.25" outlineLevel="5" x14ac:dyDescent="0.2">
      <c r="B5715" s="14" t="s">
        <v>10762</v>
      </c>
      <c r="C5715" s="14" t="s">
        <v>10763</v>
      </c>
      <c r="D5715" s="14">
        <v>1</v>
      </c>
      <c r="E5715" s="15">
        <v>52.75</v>
      </c>
      <c r="F5715" s="16" t="s">
        <v>8</v>
      </c>
      <c r="G5715" s="14"/>
    </row>
    <row r="5716" spans="2:7" ht="11.25" outlineLevel="5" x14ac:dyDescent="0.2">
      <c r="B5716" s="14" t="s">
        <v>10764</v>
      </c>
      <c r="C5716" s="14" t="s">
        <v>10765</v>
      </c>
      <c r="D5716" s="14">
        <v>1</v>
      </c>
      <c r="E5716" s="15">
        <v>48.26</v>
      </c>
      <c r="F5716" s="16" t="s">
        <v>8</v>
      </c>
      <c r="G5716" s="14"/>
    </row>
    <row r="5717" spans="2:7" ht="11.25" outlineLevel="5" x14ac:dyDescent="0.2">
      <c r="B5717" s="14" t="s">
        <v>10766</v>
      </c>
      <c r="C5717" s="14" t="s">
        <v>10767</v>
      </c>
      <c r="D5717" s="14">
        <v>1</v>
      </c>
      <c r="E5717" s="15">
        <v>28.04</v>
      </c>
      <c r="F5717" s="16" t="s">
        <v>8</v>
      </c>
      <c r="G5717" s="14"/>
    </row>
    <row r="5718" spans="2:7" ht="11.25" outlineLevel="5" x14ac:dyDescent="0.2">
      <c r="B5718" s="14" t="s">
        <v>10768</v>
      </c>
      <c r="C5718" s="14" t="s">
        <v>10769</v>
      </c>
      <c r="D5718" s="14">
        <v>1</v>
      </c>
      <c r="E5718" s="15">
        <v>38.36</v>
      </c>
      <c r="F5718" s="16" t="s">
        <v>8</v>
      </c>
      <c r="G5718" s="14"/>
    </row>
    <row r="5719" spans="2:7" ht="12" outlineLevel="3" x14ac:dyDescent="0.2">
      <c r="B5719" s="10"/>
      <c r="C5719" s="36" t="s">
        <v>8571</v>
      </c>
      <c r="D5719" s="10"/>
      <c r="E5719" s="11"/>
      <c r="F5719" s="11"/>
      <c r="G5719" s="10"/>
    </row>
    <row r="5720" spans="2:7" ht="12" outlineLevel="4" x14ac:dyDescent="0.2">
      <c r="B5720" s="12"/>
      <c r="C5720" s="37" t="s">
        <v>10770</v>
      </c>
      <c r="D5720" s="12"/>
      <c r="E5720" s="13"/>
      <c r="F5720" s="13"/>
      <c r="G5720" s="12"/>
    </row>
    <row r="5721" spans="2:7" ht="11.25" outlineLevel="5" x14ac:dyDescent="0.2">
      <c r="B5721" s="14" t="s">
        <v>10771</v>
      </c>
      <c r="C5721" s="14" t="s">
        <v>10772</v>
      </c>
      <c r="D5721" s="14">
        <v>1</v>
      </c>
      <c r="E5721" s="15">
        <v>19.440000000000001</v>
      </c>
      <c r="F5721" s="16" t="s">
        <v>8</v>
      </c>
      <c r="G5721" s="14"/>
    </row>
    <row r="5722" spans="2:7" ht="11.25" outlineLevel="5" x14ac:dyDescent="0.2">
      <c r="B5722" s="14" t="s">
        <v>10773</v>
      </c>
      <c r="C5722" s="14" t="s">
        <v>10774</v>
      </c>
      <c r="D5722" s="14">
        <v>1</v>
      </c>
      <c r="E5722" s="15">
        <v>22.87</v>
      </c>
      <c r="F5722" s="16" t="s">
        <v>8</v>
      </c>
      <c r="G5722" s="38" t="str">
        <f>HYPERLINK("http://enext.ua/2613050")</f>
        <v>http://enext.ua/2613050</v>
      </c>
    </row>
    <row r="5723" spans="2:7" ht="11.25" outlineLevel="5" x14ac:dyDescent="0.2">
      <c r="B5723" s="14" t="s">
        <v>10775</v>
      </c>
      <c r="C5723" s="14" t="s">
        <v>10776</v>
      </c>
      <c r="D5723" s="14">
        <v>1</v>
      </c>
      <c r="E5723" s="15">
        <v>25.75</v>
      </c>
      <c r="F5723" s="16" t="s">
        <v>8</v>
      </c>
      <c r="G5723" s="38" t="str">
        <f>HYPERLINK("http://enext.ua/2614050")</f>
        <v>http://enext.ua/2614050</v>
      </c>
    </row>
    <row r="5724" spans="2:7" ht="11.25" outlineLevel="5" x14ac:dyDescent="0.2">
      <c r="B5724" s="14" t="s">
        <v>10777</v>
      </c>
      <c r="C5724" s="14" t="s">
        <v>10778</v>
      </c>
      <c r="D5724" s="14">
        <v>1</v>
      </c>
      <c r="E5724" s="15">
        <v>30.38</v>
      </c>
      <c r="F5724" s="16" t="s">
        <v>8</v>
      </c>
      <c r="G5724" s="38" t="str">
        <f>HYPERLINK("http://enext.ua/2615050")</f>
        <v>http://enext.ua/2615050</v>
      </c>
    </row>
    <row r="5725" spans="2:7" ht="11.25" outlineLevel="5" x14ac:dyDescent="0.2">
      <c r="B5725" s="14" t="s">
        <v>10779</v>
      </c>
      <c r="C5725" s="14" t="s">
        <v>10780</v>
      </c>
      <c r="D5725" s="14">
        <v>1</v>
      </c>
      <c r="E5725" s="15">
        <v>53.69</v>
      </c>
      <c r="F5725" s="16" t="s">
        <v>8</v>
      </c>
      <c r="G5725" s="38" t="str">
        <f>HYPERLINK("http://enext.ua/2616050")</f>
        <v>http://enext.ua/2616050</v>
      </c>
    </row>
    <row r="5726" spans="2:7" ht="11.25" outlineLevel="5" x14ac:dyDescent="0.2">
      <c r="B5726" s="14" t="s">
        <v>10781</v>
      </c>
      <c r="C5726" s="14" t="s">
        <v>10782</v>
      </c>
      <c r="D5726" s="14">
        <v>1</v>
      </c>
      <c r="E5726" s="15">
        <v>74.290000000000006</v>
      </c>
      <c r="F5726" s="16" t="s">
        <v>8</v>
      </c>
      <c r="G5726" s="38" t="str">
        <f>HYPERLINK("http://enext.ua/2617050")</f>
        <v>http://enext.ua/2617050</v>
      </c>
    </row>
    <row r="5727" spans="2:7" ht="11.25" outlineLevel="5" x14ac:dyDescent="0.2">
      <c r="B5727" s="14" t="s">
        <v>10783</v>
      </c>
      <c r="C5727" s="14" t="s">
        <v>10784</v>
      </c>
      <c r="D5727" s="14">
        <v>1</v>
      </c>
      <c r="E5727" s="15">
        <v>98.98</v>
      </c>
      <c r="F5727" s="16" t="s">
        <v>8</v>
      </c>
      <c r="G5727" s="38" t="str">
        <f>HYPERLINK("http://enext.ua/2618050")</f>
        <v>http://enext.ua/2618050</v>
      </c>
    </row>
    <row r="5728" spans="2:7" ht="11.25" outlineLevel="5" x14ac:dyDescent="0.2">
      <c r="B5728" s="14" t="s">
        <v>10785</v>
      </c>
      <c r="C5728" s="14" t="s">
        <v>10786</v>
      </c>
      <c r="D5728" s="14">
        <v>1</v>
      </c>
      <c r="E5728" s="15">
        <v>120.55</v>
      </c>
      <c r="F5728" s="16" t="s">
        <v>8</v>
      </c>
      <c r="G5728" s="38" t="str">
        <f>HYPERLINK("http://enext.ua/2619050")</f>
        <v>http://enext.ua/2619050</v>
      </c>
    </row>
    <row r="5729" spans="2:7" ht="11.25" outlineLevel="5" x14ac:dyDescent="0.2">
      <c r="B5729" s="14" t="s">
        <v>10787</v>
      </c>
      <c r="C5729" s="14" t="s">
        <v>10788</v>
      </c>
      <c r="D5729" s="14">
        <v>1</v>
      </c>
      <c r="E5729" s="15">
        <v>164.9</v>
      </c>
      <c r="F5729" s="16" t="s">
        <v>8</v>
      </c>
      <c r="G5729" s="14"/>
    </row>
    <row r="5730" spans="2:7" ht="11.25" outlineLevel="5" x14ac:dyDescent="0.2">
      <c r="B5730" s="14" t="s">
        <v>10789</v>
      </c>
      <c r="C5730" s="14" t="s">
        <v>10790</v>
      </c>
      <c r="D5730" s="14">
        <v>1</v>
      </c>
      <c r="E5730" s="15">
        <v>225.83</v>
      </c>
      <c r="F5730" s="16" t="s">
        <v>8</v>
      </c>
      <c r="G5730" s="14"/>
    </row>
    <row r="5731" spans="2:7" ht="11.25" outlineLevel="5" x14ac:dyDescent="0.2">
      <c r="B5731" s="14" t="s">
        <v>10791</v>
      </c>
      <c r="C5731" s="14" t="s">
        <v>10792</v>
      </c>
      <c r="D5731" s="14">
        <v>1</v>
      </c>
      <c r="E5731" s="15">
        <v>245.69</v>
      </c>
      <c r="F5731" s="16" t="s">
        <v>8</v>
      </c>
      <c r="G5731" s="14"/>
    </row>
    <row r="5732" spans="2:7" ht="11.25" outlineLevel="5" x14ac:dyDescent="0.2">
      <c r="B5732" s="14" t="s">
        <v>10793</v>
      </c>
      <c r="C5732" s="14" t="s">
        <v>10794</v>
      </c>
      <c r="D5732" s="14">
        <v>1</v>
      </c>
      <c r="E5732" s="15">
        <v>285.77999999999997</v>
      </c>
      <c r="F5732" s="16" t="s">
        <v>8</v>
      </c>
      <c r="G5732" s="14"/>
    </row>
    <row r="5733" spans="2:7" ht="11.25" outlineLevel="5" x14ac:dyDescent="0.2">
      <c r="B5733" s="14" t="s">
        <v>10795</v>
      </c>
      <c r="C5733" s="14" t="s">
        <v>10796</v>
      </c>
      <c r="D5733" s="14">
        <v>1</v>
      </c>
      <c r="E5733" s="15">
        <v>326.14</v>
      </c>
      <c r="F5733" s="16" t="s">
        <v>8</v>
      </c>
      <c r="G5733" s="14"/>
    </row>
    <row r="5734" spans="2:7" ht="11.25" outlineLevel="5" x14ac:dyDescent="0.2">
      <c r="B5734" s="14" t="s">
        <v>10797</v>
      </c>
      <c r="C5734" s="14" t="s">
        <v>10798</v>
      </c>
      <c r="D5734" s="14">
        <v>1</v>
      </c>
      <c r="E5734" s="15">
        <v>11.16</v>
      </c>
      <c r="F5734" s="16" t="s">
        <v>8</v>
      </c>
      <c r="G5734" s="14"/>
    </row>
    <row r="5735" spans="2:7" ht="11.25" outlineLevel="5" x14ac:dyDescent="0.2">
      <c r="B5735" s="14" t="s">
        <v>10799</v>
      </c>
      <c r="C5735" s="14" t="s">
        <v>10800</v>
      </c>
      <c r="D5735" s="14">
        <v>1</v>
      </c>
      <c r="E5735" s="15">
        <v>13.76</v>
      </c>
      <c r="F5735" s="16" t="s">
        <v>8</v>
      </c>
      <c r="G5735" s="14"/>
    </row>
    <row r="5736" spans="2:7" ht="11.25" outlineLevel="5" x14ac:dyDescent="0.2">
      <c r="B5736" s="14" t="s">
        <v>10801</v>
      </c>
      <c r="C5736" s="14" t="s">
        <v>10802</v>
      </c>
      <c r="D5736" s="14">
        <v>1</v>
      </c>
      <c r="E5736" s="15">
        <v>28.96</v>
      </c>
      <c r="F5736" s="16" t="s">
        <v>8</v>
      </c>
      <c r="G5736" s="14"/>
    </row>
    <row r="5737" spans="2:7" ht="11.25" outlineLevel="5" x14ac:dyDescent="0.2">
      <c r="B5737" s="14" t="s">
        <v>10803</v>
      </c>
      <c r="C5737" s="14" t="s">
        <v>10804</v>
      </c>
      <c r="D5737" s="14">
        <v>1</v>
      </c>
      <c r="E5737" s="15">
        <v>41.26</v>
      </c>
      <c r="F5737" s="16" t="s">
        <v>8</v>
      </c>
      <c r="G5737" s="14"/>
    </row>
    <row r="5738" spans="2:7" ht="11.25" outlineLevel="5" x14ac:dyDescent="0.2">
      <c r="B5738" s="14" t="s">
        <v>10805</v>
      </c>
      <c r="C5738" s="14" t="s">
        <v>10806</v>
      </c>
      <c r="D5738" s="14">
        <v>1</v>
      </c>
      <c r="E5738" s="15">
        <v>55.07</v>
      </c>
      <c r="F5738" s="16" t="s">
        <v>8</v>
      </c>
      <c r="G5738" s="14"/>
    </row>
    <row r="5739" spans="2:7" ht="11.25" outlineLevel="5" x14ac:dyDescent="0.2">
      <c r="B5739" s="14" t="s">
        <v>10807</v>
      </c>
      <c r="C5739" s="14" t="s">
        <v>10808</v>
      </c>
      <c r="D5739" s="14">
        <v>1</v>
      </c>
      <c r="E5739" s="15">
        <v>39.76</v>
      </c>
      <c r="F5739" s="16" t="s">
        <v>8</v>
      </c>
      <c r="G5739" s="14"/>
    </row>
    <row r="5740" spans="2:7" ht="11.25" outlineLevel="5" x14ac:dyDescent="0.2">
      <c r="B5740" s="14" t="s">
        <v>10809</v>
      </c>
      <c r="C5740" s="14" t="s">
        <v>10810</v>
      </c>
      <c r="D5740" s="14">
        <v>1</v>
      </c>
      <c r="E5740" s="15">
        <v>53.2</v>
      </c>
      <c r="F5740" s="16" t="s">
        <v>8</v>
      </c>
      <c r="G5740" s="14"/>
    </row>
    <row r="5741" spans="2:7" ht="11.25" outlineLevel="5" x14ac:dyDescent="0.2">
      <c r="B5741" s="14" t="s">
        <v>10811</v>
      </c>
      <c r="C5741" s="14" t="s">
        <v>10812</v>
      </c>
      <c r="D5741" s="14">
        <v>1</v>
      </c>
      <c r="E5741" s="15">
        <v>55.25</v>
      </c>
      <c r="F5741" s="16" t="s">
        <v>8</v>
      </c>
      <c r="G5741" s="38" t="str">
        <f>HYPERLINK("http://enext.ua/2665660")</f>
        <v>http://enext.ua/2665660</v>
      </c>
    </row>
    <row r="5742" spans="2:7" ht="11.25" outlineLevel="5" x14ac:dyDescent="0.2">
      <c r="B5742" s="14" t="s">
        <v>10813</v>
      </c>
      <c r="C5742" s="14" t="s">
        <v>10814</v>
      </c>
      <c r="D5742" s="14">
        <v>1</v>
      </c>
      <c r="E5742" s="15">
        <v>62.23</v>
      </c>
      <c r="F5742" s="16" t="s">
        <v>8</v>
      </c>
      <c r="G5742" s="14"/>
    </row>
    <row r="5743" spans="2:7" ht="11.25" outlineLevel="5" x14ac:dyDescent="0.2">
      <c r="B5743" s="14" t="s">
        <v>10815</v>
      </c>
      <c r="C5743" s="14" t="s">
        <v>10816</v>
      </c>
      <c r="D5743" s="14">
        <v>1</v>
      </c>
      <c r="E5743" s="15">
        <v>71.040000000000006</v>
      </c>
      <c r="F5743" s="16" t="s">
        <v>8</v>
      </c>
      <c r="G5743" s="14"/>
    </row>
    <row r="5744" spans="2:7" ht="11.25" outlineLevel="5" x14ac:dyDescent="0.2">
      <c r="B5744" s="14" t="s">
        <v>10817</v>
      </c>
      <c r="C5744" s="14" t="s">
        <v>10818</v>
      </c>
      <c r="D5744" s="14">
        <v>1</v>
      </c>
      <c r="E5744" s="15">
        <v>76.44</v>
      </c>
      <c r="F5744" s="16" t="s">
        <v>8</v>
      </c>
      <c r="G5744" s="14"/>
    </row>
    <row r="5745" spans="2:7" ht="11.25" outlineLevel="5" x14ac:dyDescent="0.2">
      <c r="B5745" s="14" t="s">
        <v>10819</v>
      </c>
      <c r="C5745" s="14" t="s">
        <v>10820</v>
      </c>
      <c r="D5745" s="14">
        <v>1</v>
      </c>
      <c r="E5745" s="15">
        <v>82.87</v>
      </c>
      <c r="F5745" s="16" t="s">
        <v>8</v>
      </c>
      <c r="G5745" s="14"/>
    </row>
    <row r="5746" spans="2:7" ht="11.25" outlineLevel="5" x14ac:dyDescent="0.2">
      <c r="B5746" s="14" t="s">
        <v>10821</v>
      </c>
      <c r="C5746" s="14" t="s">
        <v>10822</v>
      </c>
      <c r="D5746" s="14">
        <v>1</v>
      </c>
      <c r="E5746" s="15">
        <v>75.349999999999994</v>
      </c>
      <c r="F5746" s="16" t="s">
        <v>8</v>
      </c>
      <c r="G5746" s="14"/>
    </row>
    <row r="5747" spans="2:7" ht="11.25" outlineLevel="5" x14ac:dyDescent="0.2">
      <c r="B5747" s="14" t="s">
        <v>10823</v>
      </c>
      <c r="C5747" s="14" t="s">
        <v>10824</v>
      </c>
      <c r="D5747" s="14">
        <v>1</v>
      </c>
      <c r="E5747" s="15">
        <v>86.75</v>
      </c>
      <c r="F5747" s="16" t="s">
        <v>8</v>
      </c>
      <c r="G5747" s="14"/>
    </row>
    <row r="5748" spans="2:7" ht="11.25" outlineLevel="5" x14ac:dyDescent="0.2">
      <c r="B5748" s="14" t="s">
        <v>10825</v>
      </c>
      <c r="C5748" s="14" t="s">
        <v>10826</v>
      </c>
      <c r="D5748" s="14">
        <v>1</v>
      </c>
      <c r="E5748" s="15">
        <v>98.12</v>
      </c>
      <c r="F5748" s="16" t="s">
        <v>8</v>
      </c>
      <c r="G5748" s="14"/>
    </row>
    <row r="5749" spans="2:7" ht="11.25" outlineLevel="5" x14ac:dyDescent="0.2">
      <c r="B5749" s="14" t="s">
        <v>10827</v>
      </c>
      <c r="C5749" s="14" t="s">
        <v>10828</v>
      </c>
      <c r="D5749" s="14">
        <v>1</v>
      </c>
      <c r="E5749" s="15">
        <v>115.76</v>
      </c>
      <c r="F5749" s="16" t="s">
        <v>8</v>
      </c>
      <c r="G5749" s="14"/>
    </row>
    <row r="5750" spans="2:7" ht="11.25" outlineLevel="5" x14ac:dyDescent="0.2">
      <c r="B5750" s="14" t="s">
        <v>10829</v>
      </c>
      <c r="C5750" s="14" t="s">
        <v>10830</v>
      </c>
      <c r="D5750" s="14">
        <v>1</v>
      </c>
      <c r="E5750" s="15">
        <v>35.450000000000003</v>
      </c>
      <c r="F5750" s="16" t="s">
        <v>8</v>
      </c>
      <c r="G5750" s="14"/>
    </row>
    <row r="5751" spans="2:7" ht="11.25" outlineLevel="5" x14ac:dyDescent="0.2">
      <c r="B5751" s="14" t="s">
        <v>10831</v>
      </c>
      <c r="C5751" s="14" t="s">
        <v>10832</v>
      </c>
      <c r="D5751" s="14">
        <v>1</v>
      </c>
      <c r="E5751" s="15">
        <v>38.26</v>
      </c>
      <c r="F5751" s="16" t="s">
        <v>8</v>
      </c>
      <c r="G5751" s="14"/>
    </row>
    <row r="5752" spans="2:7" ht="11.25" outlineLevel="5" x14ac:dyDescent="0.2">
      <c r="B5752" s="14" t="s">
        <v>10833</v>
      </c>
      <c r="C5752" s="14" t="s">
        <v>10834</v>
      </c>
      <c r="D5752" s="14">
        <v>1</v>
      </c>
      <c r="E5752" s="15">
        <v>57.29</v>
      </c>
      <c r="F5752" s="16" t="s">
        <v>8</v>
      </c>
      <c r="G5752" s="14"/>
    </row>
    <row r="5753" spans="2:7" ht="11.25" outlineLevel="5" x14ac:dyDescent="0.2">
      <c r="B5753" s="14" t="s">
        <v>10835</v>
      </c>
      <c r="C5753" s="14" t="s">
        <v>10836</v>
      </c>
      <c r="D5753" s="14">
        <v>1</v>
      </c>
      <c r="E5753" s="15">
        <v>70.760000000000005</v>
      </c>
      <c r="F5753" s="16" t="s">
        <v>8</v>
      </c>
      <c r="G5753" s="14"/>
    </row>
    <row r="5754" spans="2:7" ht="11.25" outlineLevel="5" x14ac:dyDescent="0.2">
      <c r="B5754" s="14" t="s">
        <v>10837</v>
      </c>
      <c r="C5754" s="14" t="s">
        <v>10838</v>
      </c>
      <c r="D5754" s="14">
        <v>1</v>
      </c>
      <c r="E5754" s="15">
        <v>83.16</v>
      </c>
      <c r="F5754" s="16" t="s">
        <v>8</v>
      </c>
      <c r="G5754" s="14"/>
    </row>
    <row r="5755" spans="2:7" ht="12" outlineLevel="4" x14ac:dyDescent="0.2">
      <c r="B5755" s="12"/>
      <c r="C5755" s="37" t="s">
        <v>10839</v>
      </c>
      <c r="D5755" s="12"/>
      <c r="E5755" s="13"/>
      <c r="F5755" s="13"/>
      <c r="G5755" s="12"/>
    </row>
    <row r="5756" spans="2:7" ht="11.25" outlineLevel="5" x14ac:dyDescent="0.2">
      <c r="B5756" s="14" t="s">
        <v>10840</v>
      </c>
      <c r="C5756" s="14" t="s">
        <v>10841</v>
      </c>
      <c r="D5756" s="14">
        <v>1</v>
      </c>
      <c r="E5756" s="15">
        <v>18.34</v>
      </c>
      <c r="F5756" s="16" t="s">
        <v>8</v>
      </c>
      <c r="G5756" s="14"/>
    </row>
    <row r="5757" spans="2:7" ht="11.25" outlineLevel="5" x14ac:dyDescent="0.2">
      <c r="B5757" s="14" t="s">
        <v>10842</v>
      </c>
      <c r="C5757" s="14" t="s">
        <v>10843</v>
      </c>
      <c r="D5757" s="14">
        <v>1</v>
      </c>
      <c r="E5757" s="15">
        <v>45.79</v>
      </c>
      <c r="F5757" s="16" t="s">
        <v>8</v>
      </c>
      <c r="G5757" s="38" t="str">
        <f>HYPERLINK("http://enext.ua/2620660")</f>
        <v>http://enext.ua/2620660</v>
      </c>
    </row>
    <row r="5758" spans="2:7" ht="11.25" outlineLevel="5" x14ac:dyDescent="0.2">
      <c r="B5758" s="14" t="s">
        <v>10844</v>
      </c>
      <c r="C5758" s="14" t="s">
        <v>10845</v>
      </c>
      <c r="D5758" s="14">
        <v>1</v>
      </c>
      <c r="E5758" s="15">
        <v>57.7</v>
      </c>
      <c r="F5758" s="16" t="s">
        <v>8</v>
      </c>
      <c r="G5758" s="14"/>
    </row>
    <row r="5759" spans="2:7" ht="11.25" outlineLevel="5" x14ac:dyDescent="0.2">
      <c r="B5759" s="14" t="s">
        <v>10846</v>
      </c>
      <c r="C5759" s="14" t="s">
        <v>10847</v>
      </c>
      <c r="D5759" s="14">
        <v>1</v>
      </c>
      <c r="E5759" s="15">
        <v>75.709999999999994</v>
      </c>
      <c r="F5759" s="16" t="s">
        <v>8</v>
      </c>
      <c r="G5759" s="14"/>
    </row>
    <row r="5760" spans="2:7" ht="11.25" outlineLevel="5" x14ac:dyDescent="0.2">
      <c r="B5760" s="14" t="s">
        <v>10848</v>
      </c>
      <c r="C5760" s="14" t="s">
        <v>10849</v>
      </c>
      <c r="D5760" s="14">
        <v>1</v>
      </c>
      <c r="E5760" s="15">
        <v>96.95</v>
      </c>
      <c r="F5760" s="16" t="s">
        <v>8</v>
      </c>
      <c r="G5760" s="38" t="str">
        <f>HYPERLINK("http://enext.ua/2620066")</f>
        <v>http://enext.ua/2620066</v>
      </c>
    </row>
    <row r="5761" spans="2:7" ht="11.25" outlineLevel="5" x14ac:dyDescent="0.2">
      <c r="B5761" s="14" t="s">
        <v>10850</v>
      </c>
      <c r="C5761" s="14" t="s">
        <v>10851</v>
      </c>
      <c r="D5761" s="14">
        <v>1</v>
      </c>
      <c r="E5761" s="15">
        <v>116.32</v>
      </c>
      <c r="F5761" s="16" t="s">
        <v>8</v>
      </c>
      <c r="G5761" s="14"/>
    </row>
    <row r="5762" spans="2:7" ht="11.25" outlineLevel="5" x14ac:dyDescent="0.2">
      <c r="B5762" s="14" t="s">
        <v>10852</v>
      </c>
      <c r="C5762" s="14" t="s">
        <v>10853</v>
      </c>
      <c r="D5762" s="14">
        <v>1</v>
      </c>
      <c r="E5762" s="15">
        <v>157.34</v>
      </c>
      <c r="F5762" s="16" t="s">
        <v>8</v>
      </c>
      <c r="G5762" s="14"/>
    </row>
    <row r="5763" spans="2:7" ht="11.25" outlineLevel="5" x14ac:dyDescent="0.2">
      <c r="B5763" s="14" t="s">
        <v>10854</v>
      </c>
      <c r="C5763" s="14" t="s">
        <v>10855</v>
      </c>
      <c r="D5763" s="14">
        <v>1</v>
      </c>
      <c r="E5763" s="15">
        <v>194.38</v>
      </c>
      <c r="F5763" s="16" t="s">
        <v>8</v>
      </c>
      <c r="G5763" s="38" t="str">
        <f>HYPERLINK("http://enext.ua/2620069")</f>
        <v>http://enext.ua/2620069</v>
      </c>
    </row>
    <row r="5764" spans="2:7" ht="11.25" outlineLevel="5" x14ac:dyDescent="0.2">
      <c r="B5764" s="14" t="s">
        <v>10856</v>
      </c>
      <c r="C5764" s="14" t="s">
        <v>10857</v>
      </c>
      <c r="D5764" s="14">
        <v>1</v>
      </c>
      <c r="E5764" s="15">
        <v>281.89</v>
      </c>
      <c r="F5764" s="16" t="s">
        <v>8</v>
      </c>
      <c r="G5764" s="38" t="str">
        <f>HYPERLINK("http://enext.ua/2620960")</f>
        <v>http://enext.ua/2620960</v>
      </c>
    </row>
    <row r="5765" spans="2:7" ht="11.25" outlineLevel="5" x14ac:dyDescent="0.2">
      <c r="B5765" s="14" t="s">
        <v>10858</v>
      </c>
      <c r="C5765" s="14" t="s">
        <v>10859</v>
      </c>
      <c r="D5765" s="14">
        <v>1</v>
      </c>
      <c r="E5765" s="15">
        <v>443.16</v>
      </c>
      <c r="F5765" s="16" t="s">
        <v>8</v>
      </c>
      <c r="G5765" s="14"/>
    </row>
    <row r="5766" spans="2:7" ht="11.25" outlineLevel="5" x14ac:dyDescent="0.2">
      <c r="B5766" s="14" t="s">
        <v>10860</v>
      </c>
      <c r="C5766" s="14" t="s">
        <v>10861</v>
      </c>
      <c r="D5766" s="14">
        <v>1</v>
      </c>
      <c r="E5766" s="15">
        <v>17.88</v>
      </c>
      <c r="F5766" s="16" t="s">
        <v>8</v>
      </c>
      <c r="G5766" s="38" t="str">
        <f>HYPERLINK("http://enext.ua/2643060")</f>
        <v>http://enext.ua/2643060</v>
      </c>
    </row>
    <row r="5767" spans="2:7" ht="11.25" outlineLevel="5" x14ac:dyDescent="0.2">
      <c r="B5767" s="14" t="s">
        <v>10862</v>
      </c>
      <c r="C5767" s="14" t="s">
        <v>10863</v>
      </c>
      <c r="D5767" s="14">
        <v>1</v>
      </c>
      <c r="E5767" s="15">
        <v>26.64</v>
      </c>
      <c r="F5767" s="16" t="s">
        <v>8</v>
      </c>
      <c r="G5767" s="38" t="str">
        <f>HYPERLINK("http://enext.ua/2645060")</f>
        <v>http://enext.ua/2645060</v>
      </c>
    </row>
    <row r="5768" spans="2:7" ht="11.25" outlineLevel="5" x14ac:dyDescent="0.2">
      <c r="B5768" s="14" t="s">
        <v>10864</v>
      </c>
      <c r="C5768" s="14" t="s">
        <v>10865</v>
      </c>
      <c r="D5768" s="14">
        <v>1</v>
      </c>
      <c r="E5768" s="15">
        <v>39.92</v>
      </c>
      <c r="F5768" s="16" t="s">
        <v>8</v>
      </c>
      <c r="G5768" s="38" t="str">
        <f>HYPERLINK("http://enext.ua/2646060")</f>
        <v>http://enext.ua/2646060</v>
      </c>
    </row>
    <row r="5769" spans="2:7" ht="11.25" outlineLevel="5" x14ac:dyDescent="0.2">
      <c r="B5769" s="14" t="s">
        <v>10866</v>
      </c>
      <c r="C5769" s="14" t="s">
        <v>10867</v>
      </c>
      <c r="D5769" s="14">
        <v>1</v>
      </c>
      <c r="E5769" s="15">
        <v>51.61</v>
      </c>
      <c r="F5769" s="16" t="s">
        <v>8</v>
      </c>
      <c r="G5769" s="38" t="str">
        <f>HYPERLINK("http://enext.ua/2647060")</f>
        <v>http://enext.ua/2647060</v>
      </c>
    </row>
    <row r="5770" spans="2:7" ht="11.25" outlineLevel="5" x14ac:dyDescent="0.2">
      <c r="B5770" s="14" t="s">
        <v>10868</v>
      </c>
      <c r="C5770" s="14" t="s">
        <v>10869</v>
      </c>
      <c r="D5770" s="14">
        <v>1</v>
      </c>
      <c r="E5770" s="15">
        <v>60.66</v>
      </c>
      <c r="F5770" s="16" t="s">
        <v>8</v>
      </c>
      <c r="G5770" s="38" t="str">
        <f>HYPERLINK("http://enext.ua/2648060")</f>
        <v>http://enext.ua/2648060</v>
      </c>
    </row>
    <row r="5771" spans="2:7" ht="11.25" outlineLevel="5" x14ac:dyDescent="0.2">
      <c r="B5771" s="14" t="s">
        <v>10870</v>
      </c>
      <c r="C5771" s="14" t="s">
        <v>10871</v>
      </c>
      <c r="D5771" s="14">
        <v>1</v>
      </c>
      <c r="E5771" s="15">
        <v>68.98</v>
      </c>
      <c r="F5771" s="16" t="s">
        <v>8</v>
      </c>
      <c r="G5771" s="38" t="str">
        <f>HYPERLINK("http://enext.ua/2649060")</f>
        <v>http://enext.ua/2649060</v>
      </c>
    </row>
    <row r="5772" spans="2:7" ht="11.25" outlineLevel="5" x14ac:dyDescent="0.2">
      <c r="B5772" s="14" t="s">
        <v>10872</v>
      </c>
      <c r="C5772" s="14" t="s">
        <v>10873</v>
      </c>
      <c r="D5772" s="14">
        <v>1</v>
      </c>
      <c r="E5772" s="15">
        <v>204.84</v>
      </c>
      <c r="F5772" s="16" t="s">
        <v>8</v>
      </c>
      <c r="G5772" s="38" t="str">
        <f>HYPERLINK("http://enext.ua/2640760")</f>
        <v>http://enext.ua/2640760</v>
      </c>
    </row>
    <row r="5773" spans="2:7" ht="12" outlineLevel="4" x14ac:dyDescent="0.2">
      <c r="B5773" s="12"/>
      <c r="C5773" s="37" t="s">
        <v>10874</v>
      </c>
      <c r="D5773" s="12"/>
      <c r="E5773" s="13"/>
      <c r="F5773" s="13"/>
      <c r="G5773" s="12"/>
    </row>
    <row r="5774" spans="2:7" ht="11.25" outlineLevel="5" x14ac:dyDescent="0.2">
      <c r="B5774" s="14" t="s">
        <v>10875</v>
      </c>
      <c r="C5774" s="14" t="s">
        <v>10876</v>
      </c>
      <c r="D5774" s="14">
        <v>1</v>
      </c>
      <c r="E5774" s="15">
        <v>34.630000000000003</v>
      </c>
      <c r="F5774" s="16" t="s">
        <v>8</v>
      </c>
      <c r="G5774" s="38" t="str">
        <f>HYPERLINK("http://enext.ua/2170060")</f>
        <v>http://enext.ua/2170060</v>
      </c>
    </row>
    <row r="5775" spans="2:7" ht="11.25" outlineLevel="5" x14ac:dyDescent="0.2">
      <c r="B5775" s="14" t="s">
        <v>10877</v>
      </c>
      <c r="C5775" s="14" t="s">
        <v>10878</v>
      </c>
      <c r="D5775" s="14">
        <v>1</v>
      </c>
      <c r="E5775" s="15">
        <v>22.36</v>
      </c>
      <c r="F5775" s="16" t="s">
        <v>8</v>
      </c>
      <c r="G5775" s="14"/>
    </row>
    <row r="5776" spans="2:7" ht="11.25" outlineLevel="5" x14ac:dyDescent="0.2">
      <c r="B5776" s="14" t="s">
        <v>10879</v>
      </c>
      <c r="C5776" s="14" t="s">
        <v>10880</v>
      </c>
      <c r="D5776" s="14">
        <v>1</v>
      </c>
      <c r="E5776" s="15">
        <v>130.5</v>
      </c>
      <c r="F5776" s="16" t="s">
        <v>8</v>
      </c>
      <c r="G5776" s="38" t="str">
        <f>HYPERLINK("http://enext.ua/2630380")</f>
        <v>http://enext.ua/2630380</v>
      </c>
    </row>
    <row r="5777" spans="2:7" ht="11.25" outlineLevel="5" x14ac:dyDescent="0.2">
      <c r="B5777" s="14" t="s">
        <v>10881</v>
      </c>
      <c r="C5777" s="14" t="s">
        <v>10882</v>
      </c>
      <c r="D5777" s="14">
        <v>1</v>
      </c>
      <c r="E5777" s="15">
        <v>145.13999999999999</v>
      </c>
      <c r="F5777" s="16" t="s">
        <v>8</v>
      </c>
      <c r="G5777" s="38" t="str">
        <f>HYPERLINK("http://enext.ua/3630590")</f>
        <v>http://enext.ua/3630590</v>
      </c>
    </row>
    <row r="5778" spans="2:7" ht="11.25" outlineLevel="5" x14ac:dyDescent="0.2">
      <c r="B5778" s="14" t="s">
        <v>10883</v>
      </c>
      <c r="C5778" s="14" t="s">
        <v>10884</v>
      </c>
      <c r="D5778" s="14">
        <v>1</v>
      </c>
      <c r="E5778" s="15">
        <v>158.71</v>
      </c>
      <c r="F5778" s="16" t="s">
        <v>8</v>
      </c>
      <c r="G5778" s="14"/>
    </row>
    <row r="5779" spans="2:7" ht="11.25" outlineLevel="5" x14ac:dyDescent="0.2">
      <c r="B5779" s="14" t="s">
        <v>10885</v>
      </c>
      <c r="C5779" s="14" t="s">
        <v>10886</v>
      </c>
      <c r="D5779" s="14">
        <v>1</v>
      </c>
      <c r="E5779" s="15">
        <v>154.66999999999999</v>
      </c>
      <c r="F5779" s="16" t="s">
        <v>8</v>
      </c>
      <c r="G5779" s="38" t="str">
        <f>HYPERLINK("http://enext.ua/2630260")</f>
        <v>http://enext.ua/2630260</v>
      </c>
    </row>
    <row r="5780" spans="2:7" ht="12" outlineLevel="4" x14ac:dyDescent="0.2">
      <c r="B5780" s="12"/>
      <c r="C5780" s="37" t="s">
        <v>10887</v>
      </c>
      <c r="D5780" s="12"/>
      <c r="E5780" s="13"/>
      <c r="F5780" s="13"/>
      <c r="G5780" s="12"/>
    </row>
    <row r="5781" spans="2:7" ht="11.25" outlineLevel="5" x14ac:dyDescent="0.2">
      <c r="B5781" s="14" t="s">
        <v>10888</v>
      </c>
      <c r="C5781" s="14" t="s">
        <v>10889</v>
      </c>
      <c r="D5781" s="14">
        <v>1</v>
      </c>
      <c r="E5781" s="15">
        <v>31.93</v>
      </c>
      <c r="F5781" s="16" t="s">
        <v>8</v>
      </c>
      <c r="G5781" s="38" t="str">
        <f>HYPERLINK("http://enext.ua/2630060")</f>
        <v>http://enext.ua/2630060</v>
      </c>
    </row>
    <row r="5782" spans="2:7" ht="11.25" outlineLevel="5" x14ac:dyDescent="0.2">
      <c r="B5782" s="14" t="s">
        <v>10890</v>
      </c>
      <c r="C5782" s="14" t="s">
        <v>10889</v>
      </c>
      <c r="D5782" s="14">
        <v>1</v>
      </c>
      <c r="E5782" s="15">
        <v>38.450000000000003</v>
      </c>
      <c r="F5782" s="16" t="s">
        <v>8</v>
      </c>
      <c r="G5782" s="14"/>
    </row>
    <row r="5783" spans="2:7" ht="11.25" outlineLevel="5" x14ac:dyDescent="0.2">
      <c r="B5783" s="14" t="s">
        <v>10891</v>
      </c>
      <c r="C5783" s="14" t="s">
        <v>10892</v>
      </c>
      <c r="D5783" s="14">
        <v>1</v>
      </c>
      <c r="E5783" s="15">
        <v>51.85</v>
      </c>
      <c r="F5783" s="16" t="s">
        <v>8</v>
      </c>
      <c r="G5783" s="38" t="str">
        <f>HYPERLINK("http://enext.ua/3633160")</f>
        <v>http://enext.ua/3633160</v>
      </c>
    </row>
    <row r="5784" spans="2:7" ht="11.25" outlineLevel="5" x14ac:dyDescent="0.2">
      <c r="B5784" s="14" t="s">
        <v>10893</v>
      </c>
      <c r="C5784" s="14" t="s">
        <v>10894</v>
      </c>
      <c r="D5784" s="14">
        <v>1</v>
      </c>
      <c r="E5784" s="15">
        <v>65.58</v>
      </c>
      <c r="F5784" s="16" t="s">
        <v>8</v>
      </c>
      <c r="G5784" s="14"/>
    </row>
    <row r="5785" spans="2:7" ht="11.25" outlineLevel="5" x14ac:dyDescent="0.2">
      <c r="B5785" s="14" t="s">
        <v>10895</v>
      </c>
      <c r="C5785" s="14" t="s">
        <v>10896</v>
      </c>
      <c r="D5785" s="14">
        <v>1</v>
      </c>
      <c r="E5785" s="15">
        <v>91.84</v>
      </c>
      <c r="F5785" s="16" t="s">
        <v>8</v>
      </c>
      <c r="G5785" s="14"/>
    </row>
    <row r="5786" spans="2:7" ht="11.25" outlineLevel="5" x14ac:dyDescent="0.2">
      <c r="B5786" s="14" t="s">
        <v>10897</v>
      </c>
      <c r="C5786" s="14" t="s">
        <v>10898</v>
      </c>
      <c r="D5786" s="14">
        <v>1</v>
      </c>
      <c r="E5786" s="15">
        <v>120.79</v>
      </c>
      <c r="F5786" s="16" t="s">
        <v>8</v>
      </c>
      <c r="G5786" s="14"/>
    </row>
    <row r="5787" spans="2:7" ht="11.25" outlineLevel="5" x14ac:dyDescent="0.2">
      <c r="B5787" s="14" t="s">
        <v>10899</v>
      </c>
      <c r="C5787" s="14" t="s">
        <v>10900</v>
      </c>
      <c r="D5787" s="14">
        <v>1</v>
      </c>
      <c r="E5787" s="15">
        <v>139.03</v>
      </c>
      <c r="F5787" s="16" t="s">
        <v>8</v>
      </c>
      <c r="G5787" s="14"/>
    </row>
    <row r="5788" spans="2:7" ht="11.25" outlineLevel="5" x14ac:dyDescent="0.2">
      <c r="B5788" s="14" t="s">
        <v>10901</v>
      </c>
      <c r="C5788" s="14" t="s">
        <v>10902</v>
      </c>
      <c r="D5788" s="14">
        <v>1</v>
      </c>
      <c r="E5788" s="15">
        <v>152.32</v>
      </c>
      <c r="F5788" s="16" t="s">
        <v>8</v>
      </c>
      <c r="G5788" s="14"/>
    </row>
    <row r="5789" spans="2:7" ht="12" outlineLevel="3" x14ac:dyDescent="0.2">
      <c r="B5789" s="10"/>
      <c r="C5789" s="36" t="s">
        <v>10903</v>
      </c>
      <c r="D5789" s="10"/>
      <c r="E5789" s="11"/>
      <c r="F5789" s="11"/>
      <c r="G5789" s="10"/>
    </row>
    <row r="5790" spans="2:7" ht="11.25" outlineLevel="4" x14ac:dyDescent="0.2">
      <c r="B5790" s="14" t="s">
        <v>10904</v>
      </c>
      <c r="C5790" s="14" t="s">
        <v>10905</v>
      </c>
      <c r="D5790" s="14">
        <v>1</v>
      </c>
      <c r="E5790" s="15">
        <v>3.42</v>
      </c>
      <c r="F5790" s="16" t="s">
        <v>8</v>
      </c>
      <c r="G5790" s="14"/>
    </row>
    <row r="5791" spans="2:7" ht="11.25" outlineLevel="4" x14ac:dyDescent="0.2">
      <c r="B5791" s="14" t="s">
        <v>10906</v>
      </c>
      <c r="C5791" s="14" t="s">
        <v>10907</v>
      </c>
      <c r="D5791" s="14">
        <v>1</v>
      </c>
      <c r="E5791" s="15">
        <v>0.61</v>
      </c>
      <c r="F5791" s="16" t="s">
        <v>8</v>
      </c>
      <c r="G5791" s="14"/>
    </row>
    <row r="5792" spans="2:7" ht="11.25" outlineLevel="4" x14ac:dyDescent="0.2">
      <c r="B5792" s="14" t="s">
        <v>10908</v>
      </c>
      <c r="C5792" s="14" t="s">
        <v>10909</v>
      </c>
      <c r="D5792" s="14">
        <v>1</v>
      </c>
      <c r="E5792" s="15">
        <v>0.67</v>
      </c>
      <c r="F5792" s="16" t="s">
        <v>8</v>
      </c>
      <c r="G5792" s="14"/>
    </row>
    <row r="5793" spans="2:7" ht="11.25" outlineLevel="4" x14ac:dyDescent="0.2">
      <c r="B5793" s="14" t="s">
        <v>10910</v>
      </c>
      <c r="C5793" s="14" t="s">
        <v>10911</v>
      </c>
      <c r="D5793" s="14">
        <v>1</v>
      </c>
      <c r="E5793" s="15">
        <v>16.45</v>
      </c>
      <c r="F5793" s="16" t="s">
        <v>8</v>
      </c>
      <c r="G5793" s="14"/>
    </row>
    <row r="5794" spans="2:7" ht="11.25" outlineLevel="4" x14ac:dyDescent="0.2">
      <c r="B5794" s="14" t="s">
        <v>10912</v>
      </c>
      <c r="C5794" s="14" t="s">
        <v>10913</v>
      </c>
      <c r="D5794" s="14">
        <v>1</v>
      </c>
      <c r="E5794" s="15">
        <v>10.15</v>
      </c>
      <c r="F5794" s="16" t="s">
        <v>8</v>
      </c>
      <c r="G5794" s="14"/>
    </row>
    <row r="5795" spans="2:7" ht="22.5" outlineLevel="4" x14ac:dyDescent="0.2">
      <c r="B5795" s="14" t="s">
        <v>10914</v>
      </c>
      <c r="C5795" s="14" t="s">
        <v>10915</v>
      </c>
      <c r="D5795" s="14">
        <v>1</v>
      </c>
      <c r="E5795" s="15">
        <v>3.3</v>
      </c>
      <c r="F5795" s="16" t="s">
        <v>8</v>
      </c>
      <c r="G5795" s="14"/>
    </row>
    <row r="5796" spans="2:7" ht="11.25" outlineLevel="4" x14ac:dyDescent="0.2">
      <c r="B5796" s="14" t="s">
        <v>10916</v>
      </c>
      <c r="C5796" s="14" t="s">
        <v>10917</v>
      </c>
      <c r="D5796" s="14">
        <v>1</v>
      </c>
      <c r="E5796" s="15">
        <v>0.25</v>
      </c>
      <c r="F5796" s="16" t="s">
        <v>8</v>
      </c>
      <c r="G5796" s="14"/>
    </row>
    <row r="5797" spans="2:7" ht="11.25" outlineLevel="4" x14ac:dyDescent="0.2">
      <c r="B5797" s="14" t="s">
        <v>10918</v>
      </c>
      <c r="C5797" s="14" t="s">
        <v>10919</v>
      </c>
      <c r="D5797" s="14">
        <v>1</v>
      </c>
      <c r="E5797" s="15">
        <v>2.3199999999999998</v>
      </c>
      <c r="F5797" s="16" t="s">
        <v>8</v>
      </c>
      <c r="G5797" s="14"/>
    </row>
    <row r="5798" spans="2:7" ht="11.25" outlineLevel="4" x14ac:dyDescent="0.2">
      <c r="B5798" s="14" t="s">
        <v>10920</v>
      </c>
      <c r="C5798" s="14" t="s">
        <v>10921</v>
      </c>
      <c r="D5798" s="14">
        <v>1</v>
      </c>
      <c r="E5798" s="15">
        <v>0.45</v>
      </c>
      <c r="F5798" s="16" t="s">
        <v>8</v>
      </c>
      <c r="G5798" s="14"/>
    </row>
    <row r="5799" spans="2:7" ht="11.25" outlineLevel="4" x14ac:dyDescent="0.2">
      <c r="B5799" s="14" t="s">
        <v>10922</v>
      </c>
      <c r="C5799" s="14" t="s">
        <v>10923</v>
      </c>
      <c r="D5799" s="14">
        <v>1</v>
      </c>
      <c r="E5799" s="15">
        <v>0.97</v>
      </c>
      <c r="F5799" s="16" t="s">
        <v>8</v>
      </c>
      <c r="G5799" s="14"/>
    </row>
    <row r="5800" spans="2:7" ht="11.25" outlineLevel="4" x14ac:dyDescent="0.2">
      <c r="B5800" s="14" t="s">
        <v>10924</v>
      </c>
      <c r="C5800" s="14" t="s">
        <v>10925</v>
      </c>
      <c r="D5800" s="14">
        <v>1</v>
      </c>
      <c r="E5800" s="15">
        <v>0.2</v>
      </c>
      <c r="F5800" s="16" t="s">
        <v>8</v>
      </c>
      <c r="G5800" s="14"/>
    </row>
    <row r="5801" spans="2:7" ht="12" outlineLevel="1" x14ac:dyDescent="0.2">
      <c r="B5801" s="6"/>
      <c r="C5801" s="34" t="s">
        <v>10926</v>
      </c>
      <c r="D5801" s="6"/>
      <c r="E5801" s="7"/>
      <c r="F5801" s="7"/>
      <c r="G5801" s="6"/>
    </row>
    <row r="5802" spans="2:7" ht="12" outlineLevel="2" x14ac:dyDescent="0.2">
      <c r="B5802" s="8"/>
      <c r="C5802" s="35" t="s">
        <v>10927</v>
      </c>
      <c r="D5802" s="8"/>
      <c r="E5802" s="9"/>
      <c r="F5802" s="9"/>
      <c r="G5802" s="8"/>
    </row>
    <row r="5803" spans="2:7" ht="12" outlineLevel="3" x14ac:dyDescent="0.2">
      <c r="B5803" s="10"/>
      <c r="C5803" s="36" t="s">
        <v>10928</v>
      </c>
      <c r="D5803" s="10"/>
      <c r="E5803" s="11"/>
      <c r="F5803" s="11"/>
      <c r="G5803" s="10"/>
    </row>
    <row r="5804" spans="2:7" ht="12" outlineLevel="4" x14ac:dyDescent="0.2">
      <c r="B5804" s="12"/>
      <c r="C5804" s="37" t="s">
        <v>10929</v>
      </c>
      <c r="D5804" s="12"/>
      <c r="E5804" s="13"/>
      <c r="F5804" s="13"/>
      <c r="G5804" s="12"/>
    </row>
    <row r="5805" spans="2:7" ht="11.25" outlineLevel="5" x14ac:dyDescent="0.2">
      <c r="B5805" s="14" t="s">
        <v>10930</v>
      </c>
      <c r="C5805" s="14" t="s">
        <v>10931</v>
      </c>
      <c r="D5805" s="14">
        <v>1</v>
      </c>
      <c r="E5805" s="15">
        <v>135.43</v>
      </c>
      <c r="F5805" s="16" t="s">
        <v>8</v>
      </c>
      <c r="G5805" s="38" t="str">
        <f>HYPERLINK("http://enext.ua/l0800023")</f>
        <v>http://enext.ua/l0800023</v>
      </c>
    </row>
    <row r="5806" spans="2:7" ht="11.25" outlineLevel="5" x14ac:dyDescent="0.2">
      <c r="B5806" s="14" t="s">
        <v>10932</v>
      </c>
      <c r="C5806" s="14" t="s">
        <v>10933</v>
      </c>
      <c r="D5806" s="14">
        <v>1</v>
      </c>
      <c r="E5806" s="15">
        <v>218.53</v>
      </c>
      <c r="F5806" s="16" t="s">
        <v>8</v>
      </c>
      <c r="G5806" s="38" t="str">
        <f>HYPERLINK("http://enext.ua/l0800024")</f>
        <v>http://enext.ua/l0800024</v>
      </c>
    </row>
    <row r="5807" spans="2:7" ht="11.25" outlineLevel="5" x14ac:dyDescent="0.2">
      <c r="B5807" s="14" t="s">
        <v>10934</v>
      </c>
      <c r="C5807" s="14" t="s">
        <v>10935</v>
      </c>
      <c r="D5807" s="14">
        <v>1</v>
      </c>
      <c r="E5807" s="15">
        <v>350.06</v>
      </c>
      <c r="F5807" s="16" t="s">
        <v>8</v>
      </c>
      <c r="G5807" s="38" t="str">
        <f>HYPERLINK("http://enext.ua/l0800025")</f>
        <v>http://enext.ua/l0800025</v>
      </c>
    </row>
    <row r="5808" spans="2:7" ht="11.25" outlineLevel="5" x14ac:dyDescent="0.2">
      <c r="B5808" s="14" t="s">
        <v>10936</v>
      </c>
      <c r="C5808" s="14" t="s">
        <v>10937</v>
      </c>
      <c r="D5808" s="14">
        <v>1</v>
      </c>
      <c r="E5808" s="15">
        <v>544.89</v>
      </c>
      <c r="F5808" s="16" t="s">
        <v>8</v>
      </c>
      <c r="G5808" s="38" t="str">
        <f>HYPERLINK("http://enext.ua/l0800026")</f>
        <v>http://enext.ua/l0800026</v>
      </c>
    </row>
    <row r="5809" spans="2:7" ht="11.25" outlineLevel="5" x14ac:dyDescent="0.2">
      <c r="B5809" s="14" t="s">
        <v>10938</v>
      </c>
      <c r="C5809" s="14" t="s">
        <v>10939</v>
      </c>
      <c r="D5809" s="14">
        <v>1</v>
      </c>
      <c r="E5809" s="15">
        <v>812.58</v>
      </c>
      <c r="F5809" s="16" t="s">
        <v>8</v>
      </c>
      <c r="G5809" s="38" t="str">
        <f>HYPERLINK("http://enext.ua/l0800027")</f>
        <v>http://enext.ua/l0800027</v>
      </c>
    </row>
    <row r="5810" spans="2:7" ht="11.25" outlineLevel="5" x14ac:dyDescent="0.2">
      <c r="B5810" s="14" t="s">
        <v>10940</v>
      </c>
      <c r="C5810" s="14" t="s">
        <v>10941</v>
      </c>
      <c r="D5810" s="14">
        <v>1</v>
      </c>
      <c r="E5810" s="15">
        <v>576.33000000000004</v>
      </c>
      <c r="F5810" s="16" t="s">
        <v>8</v>
      </c>
      <c r="G5810" s="38" t="str">
        <f>HYPERLINK("http://enext.ua/l0800005")</f>
        <v>http://enext.ua/l0800005</v>
      </c>
    </row>
    <row r="5811" spans="2:7" ht="11.25" outlineLevel="5" x14ac:dyDescent="0.2">
      <c r="B5811" s="14" t="s">
        <v>10942</v>
      </c>
      <c r="C5811" s="14" t="s">
        <v>10943</v>
      </c>
      <c r="D5811" s="14">
        <v>1</v>
      </c>
      <c r="E5811" s="15">
        <v>864.51</v>
      </c>
      <c r="F5811" s="16" t="s">
        <v>8</v>
      </c>
      <c r="G5811" s="38" t="str">
        <f>HYPERLINK("http://enext.ua/l0800003")</f>
        <v>http://enext.ua/l0800003</v>
      </c>
    </row>
    <row r="5812" spans="2:7" ht="11.25" outlineLevel="5" x14ac:dyDescent="0.2">
      <c r="B5812" s="14" t="s">
        <v>10944</v>
      </c>
      <c r="C5812" s="14" t="s">
        <v>10945</v>
      </c>
      <c r="D5812" s="14">
        <v>1</v>
      </c>
      <c r="E5812" s="15">
        <v>864.51</v>
      </c>
      <c r="F5812" s="16" t="s">
        <v>8</v>
      </c>
      <c r="G5812" s="38" t="str">
        <f>HYPERLINK("http://enext.ua/l0800004")</f>
        <v>http://enext.ua/l0800004</v>
      </c>
    </row>
    <row r="5813" spans="2:7" ht="11.25" outlineLevel="5" x14ac:dyDescent="0.2">
      <c r="B5813" s="14" t="s">
        <v>10946</v>
      </c>
      <c r="C5813" s="14" t="s">
        <v>10947</v>
      </c>
      <c r="D5813" s="14">
        <v>1</v>
      </c>
      <c r="E5813" s="15">
        <v>125.45</v>
      </c>
      <c r="F5813" s="16" t="s">
        <v>8</v>
      </c>
      <c r="G5813" s="38" t="str">
        <f>HYPERLINK("http://enext.ua/l0800010")</f>
        <v>http://enext.ua/l0800010</v>
      </c>
    </row>
    <row r="5814" spans="2:7" ht="11.25" outlineLevel="5" x14ac:dyDescent="0.2">
      <c r="B5814" s="14" t="s">
        <v>10948</v>
      </c>
      <c r="C5814" s="14" t="s">
        <v>10949</v>
      </c>
      <c r="D5814" s="14">
        <v>1</v>
      </c>
      <c r="E5814" s="15">
        <v>125.45</v>
      </c>
      <c r="F5814" s="16" t="s">
        <v>8</v>
      </c>
      <c r="G5814" s="38" t="str">
        <f>HYPERLINK("http://enext.ua/l0800001")</f>
        <v>http://enext.ua/l0800001</v>
      </c>
    </row>
    <row r="5815" spans="2:7" ht="11.25" outlineLevel="5" x14ac:dyDescent="0.2">
      <c r="B5815" s="14" t="s">
        <v>10950</v>
      </c>
      <c r="C5815" s="14" t="s">
        <v>10951</v>
      </c>
      <c r="D5815" s="14">
        <v>1</v>
      </c>
      <c r="E5815" s="15">
        <v>230.53</v>
      </c>
      <c r="F5815" s="16" t="s">
        <v>8</v>
      </c>
      <c r="G5815" s="38" t="str">
        <f>HYPERLINK("http://enext.ua/l0800011")</f>
        <v>http://enext.ua/l0800011</v>
      </c>
    </row>
    <row r="5816" spans="2:7" ht="11.25" outlineLevel="5" x14ac:dyDescent="0.2">
      <c r="B5816" s="14" t="s">
        <v>10952</v>
      </c>
      <c r="C5816" s="14" t="s">
        <v>10953</v>
      </c>
      <c r="D5816" s="14">
        <v>1</v>
      </c>
      <c r="E5816" s="17">
        <v>5379.07</v>
      </c>
      <c r="F5816" s="16" t="s">
        <v>8</v>
      </c>
      <c r="G5816" s="38" t="str">
        <f>HYPERLINK("http://enext.ua/l0800013")</f>
        <v>http://enext.ua/l0800013</v>
      </c>
    </row>
    <row r="5817" spans="2:7" ht="12" outlineLevel="4" x14ac:dyDescent="0.2">
      <c r="B5817" s="12"/>
      <c r="C5817" s="37" t="s">
        <v>10954</v>
      </c>
      <c r="D5817" s="12"/>
      <c r="E5817" s="13"/>
      <c r="F5817" s="13"/>
      <c r="G5817" s="12"/>
    </row>
    <row r="5818" spans="2:7" ht="11.25" outlineLevel="5" x14ac:dyDescent="0.2">
      <c r="B5818" s="14" t="s">
        <v>10955</v>
      </c>
      <c r="C5818" s="14" t="s">
        <v>10956</v>
      </c>
      <c r="D5818" s="14">
        <v>1</v>
      </c>
      <c r="E5818" s="15">
        <v>265.7</v>
      </c>
      <c r="F5818" s="16" t="s">
        <v>8</v>
      </c>
      <c r="G5818" s="38" t="str">
        <f>HYPERLINK("http://enext.ua/l0810008")</f>
        <v>http://enext.ua/l0810008</v>
      </c>
    </row>
    <row r="5819" spans="2:7" ht="11.25" outlineLevel="5" x14ac:dyDescent="0.2">
      <c r="B5819" s="14" t="s">
        <v>10957</v>
      </c>
      <c r="C5819" s="14" t="s">
        <v>10958</v>
      </c>
      <c r="D5819" s="14">
        <v>1</v>
      </c>
      <c r="E5819" s="15">
        <v>265.7</v>
      </c>
      <c r="F5819" s="16" t="s">
        <v>8</v>
      </c>
      <c r="G5819" s="38" t="str">
        <f>HYPERLINK("http://enext.ua/l0810004")</f>
        <v>http://enext.ua/l0810004</v>
      </c>
    </row>
    <row r="5820" spans="2:7" ht="11.25" outlineLevel="5" x14ac:dyDescent="0.2">
      <c r="B5820" s="14" t="s">
        <v>10959</v>
      </c>
      <c r="C5820" s="14" t="s">
        <v>10960</v>
      </c>
      <c r="D5820" s="14">
        <v>1</v>
      </c>
      <c r="E5820" s="15">
        <v>495.73</v>
      </c>
      <c r="F5820" s="16" t="s">
        <v>8</v>
      </c>
      <c r="G5820" s="38" t="str">
        <f>HYPERLINK("http://enext.ua/l0810009")</f>
        <v>http://enext.ua/l0810009</v>
      </c>
    </row>
    <row r="5821" spans="2:7" ht="11.25" outlineLevel="5" x14ac:dyDescent="0.2">
      <c r="B5821" s="14" t="s">
        <v>10961</v>
      </c>
      <c r="C5821" s="14" t="s">
        <v>10962</v>
      </c>
      <c r="D5821" s="14">
        <v>1</v>
      </c>
      <c r="E5821" s="15">
        <v>495.73</v>
      </c>
      <c r="F5821" s="16" t="s">
        <v>8</v>
      </c>
      <c r="G5821" s="38" t="str">
        <f>HYPERLINK("http://enext.ua/l0810005")</f>
        <v>http://enext.ua/l0810005</v>
      </c>
    </row>
    <row r="5822" spans="2:7" ht="22.5" outlineLevel="5" x14ac:dyDescent="0.2">
      <c r="B5822" s="14" t="s">
        <v>10963</v>
      </c>
      <c r="C5822" s="14" t="s">
        <v>10964</v>
      </c>
      <c r="D5822" s="14">
        <v>1</v>
      </c>
      <c r="E5822" s="15">
        <v>418.57</v>
      </c>
      <c r="F5822" s="16" t="s">
        <v>8</v>
      </c>
      <c r="G5822" s="38" t="str">
        <f>HYPERLINK("http://enext.ua/l0810006")</f>
        <v>http://enext.ua/l0810006</v>
      </c>
    </row>
    <row r="5823" spans="2:7" ht="22.5" outlineLevel="5" x14ac:dyDescent="0.2">
      <c r="B5823" s="14" t="s">
        <v>10965</v>
      </c>
      <c r="C5823" s="14" t="s">
        <v>10966</v>
      </c>
      <c r="D5823" s="14">
        <v>1</v>
      </c>
      <c r="E5823" s="15">
        <v>613.58000000000004</v>
      </c>
      <c r="F5823" s="16" t="s">
        <v>8</v>
      </c>
      <c r="G5823" s="38" t="str">
        <f>HYPERLINK("http://enext.ua/l0810007")</f>
        <v>http://enext.ua/l0810007</v>
      </c>
    </row>
    <row r="5824" spans="2:7" ht="22.5" outlineLevel="5" x14ac:dyDescent="0.2">
      <c r="B5824" s="14" t="s">
        <v>10967</v>
      </c>
      <c r="C5824" s="14" t="s">
        <v>10968</v>
      </c>
      <c r="D5824" s="14">
        <v>1</v>
      </c>
      <c r="E5824" s="15">
        <v>835.15</v>
      </c>
      <c r="F5824" s="16" t="s">
        <v>8</v>
      </c>
      <c r="G5824" s="38" t="str">
        <f>HYPERLINK("http://enext.ua/l0810010")</f>
        <v>http://enext.ua/l0810010</v>
      </c>
    </row>
    <row r="5825" spans="2:7" ht="11.25" outlineLevel="5" x14ac:dyDescent="0.2">
      <c r="B5825" s="14" t="s">
        <v>10969</v>
      </c>
      <c r="C5825" s="14" t="s">
        <v>10970</v>
      </c>
      <c r="D5825" s="14">
        <v>1</v>
      </c>
      <c r="E5825" s="15">
        <v>139.16999999999999</v>
      </c>
      <c r="F5825" s="16" t="s">
        <v>8</v>
      </c>
      <c r="G5825" s="38" t="str">
        <f>HYPERLINK("http://enext.ua/l0840005")</f>
        <v>http://enext.ua/l0840005</v>
      </c>
    </row>
    <row r="5826" spans="2:7" ht="11.25" outlineLevel="5" x14ac:dyDescent="0.2">
      <c r="B5826" s="14" t="s">
        <v>10971</v>
      </c>
      <c r="C5826" s="14" t="s">
        <v>10972</v>
      </c>
      <c r="D5826" s="14">
        <v>1</v>
      </c>
      <c r="E5826" s="15">
        <v>166.83</v>
      </c>
      <c r="F5826" s="16" t="s">
        <v>8</v>
      </c>
      <c r="G5826" s="38" t="str">
        <f>HYPERLINK("http://enext.ua/l0840006")</f>
        <v>http://enext.ua/l0840006</v>
      </c>
    </row>
    <row r="5827" spans="2:7" ht="11.25" outlineLevel="5" x14ac:dyDescent="0.2">
      <c r="B5827" s="14" t="s">
        <v>10973</v>
      </c>
      <c r="C5827" s="14" t="s">
        <v>10974</v>
      </c>
      <c r="D5827" s="14">
        <v>1</v>
      </c>
      <c r="E5827" s="15">
        <v>208.32</v>
      </c>
      <c r="F5827" s="16" t="s">
        <v>8</v>
      </c>
      <c r="G5827" s="38" t="str">
        <f>HYPERLINK("http://enext.ua/l0840007")</f>
        <v>http://enext.ua/l0840007</v>
      </c>
    </row>
    <row r="5828" spans="2:7" ht="11.25" outlineLevel="5" x14ac:dyDescent="0.2">
      <c r="B5828" s="14" t="s">
        <v>10975</v>
      </c>
      <c r="C5828" s="14" t="s">
        <v>10976</v>
      </c>
      <c r="D5828" s="14">
        <v>1</v>
      </c>
      <c r="E5828" s="15">
        <v>237.71</v>
      </c>
      <c r="F5828" s="16" t="s">
        <v>8</v>
      </c>
      <c r="G5828" s="38" t="str">
        <f>HYPERLINK("http://enext.ua/l0840008")</f>
        <v>http://enext.ua/l0840008</v>
      </c>
    </row>
    <row r="5829" spans="2:7" ht="11.25" outlineLevel="5" x14ac:dyDescent="0.2">
      <c r="B5829" s="14" t="s">
        <v>10977</v>
      </c>
      <c r="C5829" s="14" t="s">
        <v>10978</v>
      </c>
      <c r="D5829" s="14">
        <v>1</v>
      </c>
      <c r="E5829" s="15">
        <v>153.24</v>
      </c>
      <c r="F5829" s="16" t="s">
        <v>8</v>
      </c>
      <c r="G5829" s="38" t="str">
        <f>HYPERLINK("http://enext.ua/l0840001")</f>
        <v>http://enext.ua/l0840001</v>
      </c>
    </row>
    <row r="5830" spans="2:7" ht="11.25" outlineLevel="5" x14ac:dyDescent="0.2">
      <c r="B5830" s="14" t="s">
        <v>10979</v>
      </c>
      <c r="C5830" s="14" t="s">
        <v>10980</v>
      </c>
      <c r="D5830" s="14">
        <v>1</v>
      </c>
      <c r="E5830" s="15">
        <v>210.25</v>
      </c>
      <c r="F5830" s="16" t="s">
        <v>8</v>
      </c>
      <c r="G5830" s="38" t="str">
        <f>HYPERLINK("http://enext.ua/l0840002")</f>
        <v>http://enext.ua/l0840002</v>
      </c>
    </row>
    <row r="5831" spans="2:7" ht="11.25" outlineLevel="5" x14ac:dyDescent="0.2">
      <c r="B5831" s="14" t="s">
        <v>10981</v>
      </c>
      <c r="C5831" s="14" t="s">
        <v>10982</v>
      </c>
      <c r="D5831" s="14">
        <v>1</v>
      </c>
      <c r="E5831" s="15">
        <v>217.38</v>
      </c>
      <c r="F5831" s="16" t="s">
        <v>8</v>
      </c>
      <c r="G5831" s="38" t="str">
        <f>HYPERLINK("http://enext.ua/l0840003")</f>
        <v>http://enext.ua/l0840003</v>
      </c>
    </row>
    <row r="5832" spans="2:7" ht="11.25" outlineLevel="5" x14ac:dyDescent="0.2">
      <c r="B5832" s="14" t="s">
        <v>10983</v>
      </c>
      <c r="C5832" s="14" t="s">
        <v>10984</v>
      </c>
      <c r="D5832" s="14">
        <v>1</v>
      </c>
      <c r="E5832" s="15">
        <v>235.2</v>
      </c>
      <c r="F5832" s="16" t="s">
        <v>8</v>
      </c>
      <c r="G5832" s="38" t="str">
        <f>HYPERLINK("http://enext.ua/l0840004")</f>
        <v>http://enext.ua/l0840004</v>
      </c>
    </row>
    <row r="5833" spans="2:7" ht="12" outlineLevel="4" x14ac:dyDescent="0.2">
      <c r="B5833" s="12"/>
      <c r="C5833" s="37" t="s">
        <v>10985</v>
      </c>
      <c r="D5833" s="12"/>
      <c r="E5833" s="13"/>
      <c r="F5833" s="13"/>
      <c r="G5833" s="12"/>
    </row>
    <row r="5834" spans="2:7" ht="11.25" outlineLevel="5" x14ac:dyDescent="0.2">
      <c r="B5834" s="14" t="s">
        <v>10986</v>
      </c>
      <c r="C5834" s="14" t="s">
        <v>10987</v>
      </c>
      <c r="D5834" s="14">
        <v>1</v>
      </c>
      <c r="E5834" s="17">
        <v>1530.19</v>
      </c>
      <c r="F5834" s="16" t="s">
        <v>8</v>
      </c>
      <c r="G5834" s="38" t="str">
        <f>HYPERLINK("http://enext.ua/l0820003")</f>
        <v>http://enext.ua/l0820003</v>
      </c>
    </row>
    <row r="5835" spans="2:7" ht="11.25" outlineLevel="5" x14ac:dyDescent="0.2">
      <c r="B5835" s="14" t="s">
        <v>10988</v>
      </c>
      <c r="C5835" s="14" t="s">
        <v>10989</v>
      </c>
      <c r="D5835" s="14">
        <v>1</v>
      </c>
      <c r="E5835" s="17">
        <v>3036.36</v>
      </c>
      <c r="F5835" s="16" t="s">
        <v>8</v>
      </c>
      <c r="G5835" s="38" t="str">
        <f>HYPERLINK("http://enext.ua/l0820004")</f>
        <v>http://enext.ua/l0820004</v>
      </c>
    </row>
    <row r="5836" spans="2:7" ht="11.25" outlineLevel="5" x14ac:dyDescent="0.2">
      <c r="B5836" s="14" t="s">
        <v>10990</v>
      </c>
      <c r="C5836" s="14" t="s">
        <v>10991</v>
      </c>
      <c r="D5836" s="14">
        <v>1</v>
      </c>
      <c r="E5836" s="17">
        <v>4725.45</v>
      </c>
      <c r="F5836" s="16" t="s">
        <v>8</v>
      </c>
      <c r="G5836" s="38" t="str">
        <f>HYPERLINK("http://enext.ua/l0820005")</f>
        <v>http://enext.ua/l0820005</v>
      </c>
    </row>
    <row r="5837" spans="2:7" ht="12" outlineLevel="4" x14ac:dyDescent="0.2">
      <c r="B5837" s="12"/>
      <c r="C5837" s="37" t="s">
        <v>10992</v>
      </c>
      <c r="D5837" s="12"/>
      <c r="E5837" s="13"/>
      <c r="F5837" s="13"/>
      <c r="G5837" s="12"/>
    </row>
    <row r="5838" spans="2:7" ht="11.25" outlineLevel="5" x14ac:dyDescent="0.2">
      <c r="B5838" s="14" t="s">
        <v>10993</v>
      </c>
      <c r="C5838" s="14" t="s">
        <v>10994</v>
      </c>
      <c r="D5838" s="14">
        <v>1</v>
      </c>
      <c r="E5838" s="15">
        <v>438.56</v>
      </c>
      <c r="F5838" s="16" t="s">
        <v>8</v>
      </c>
      <c r="G5838" s="38" t="str">
        <f>HYPERLINK("http://enext.ua/l0830002")</f>
        <v>http://enext.ua/l0830002</v>
      </c>
    </row>
    <row r="5839" spans="2:7" ht="11.25" outlineLevel="5" x14ac:dyDescent="0.2">
      <c r="B5839" s="14" t="s">
        <v>10995</v>
      </c>
      <c r="C5839" s="14" t="s">
        <v>10996</v>
      </c>
      <c r="D5839" s="14">
        <v>1</v>
      </c>
      <c r="E5839" s="15">
        <v>644.15</v>
      </c>
      <c r="F5839" s="16" t="s">
        <v>8</v>
      </c>
      <c r="G5839" s="38" t="str">
        <f>HYPERLINK("http://enext.ua/l0830003")</f>
        <v>http://enext.ua/l0830003</v>
      </c>
    </row>
    <row r="5840" spans="2:7" ht="11.25" outlineLevel="5" x14ac:dyDescent="0.2">
      <c r="B5840" s="14" t="s">
        <v>10997</v>
      </c>
      <c r="C5840" s="14" t="s">
        <v>10998</v>
      </c>
      <c r="D5840" s="14">
        <v>1</v>
      </c>
      <c r="E5840" s="17">
        <v>1297.44</v>
      </c>
      <c r="F5840" s="16" t="s">
        <v>8</v>
      </c>
      <c r="G5840" s="38" t="str">
        <f>HYPERLINK("http://enext.ua/l0830004")</f>
        <v>http://enext.ua/l0830004</v>
      </c>
    </row>
    <row r="5841" spans="2:7" ht="11.25" outlineLevel="5" x14ac:dyDescent="0.2">
      <c r="B5841" s="14" t="s">
        <v>10999</v>
      </c>
      <c r="C5841" s="14" t="s">
        <v>11000</v>
      </c>
      <c r="D5841" s="14">
        <v>1</v>
      </c>
      <c r="E5841" s="17">
        <v>2635.04</v>
      </c>
      <c r="F5841" s="16" t="s">
        <v>8</v>
      </c>
      <c r="G5841" s="38" t="str">
        <f>HYPERLINK("http://enext.ua/l0830005")</f>
        <v>http://enext.ua/l0830005</v>
      </c>
    </row>
    <row r="5842" spans="2:7" ht="11.25" outlineLevel="5" x14ac:dyDescent="0.2">
      <c r="B5842" s="14" t="s">
        <v>11001</v>
      </c>
      <c r="C5842" s="14" t="s">
        <v>11002</v>
      </c>
      <c r="D5842" s="14">
        <v>1</v>
      </c>
      <c r="E5842" s="17">
        <v>5094.54</v>
      </c>
      <c r="F5842" s="16" t="s">
        <v>8</v>
      </c>
      <c r="G5842" s="38" t="str">
        <f>HYPERLINK("http://enext.ua/l0830006")</f>
        <v>http://enext.ua/l0830006</v>
      </c>
    </row>
    <row r="5843" spans="2:7" ht="11.25" outlineLevel="5" x14ac:dyDescent="0.2">
      <c r="B5843" s="14" t="s">
        <v>11003</v>
      </c>
      <c r="C5843" s="14" t="s">
        <v>11004</v>
      </c>
      <c r="D5843" s="14">
        <v>10</v>
      </c>
      <c r="E5843" s="15">
        <v>294.11</v>
      </c>
      <c r="F5843" s="16" t="s">
        <v>8</v>
      </c>
      <c r="G5843" s="38" t="str">
        <f>HYPERLINK("http://enext.ua/l0830009")</f>
        <v>http://enext.ua/l0830009</v>
      </c>
    </row>
    <row r="5844" spans="2:7" ht="11.25" outlineLevel="5" x14ac:dyDescent="0.2">
      <c r="B5844" s="14" t="s">
        <v>11005</v>
      </c>
      <c r="C5844" s="14" t="s">
        <v>11006</v>
      </c>
      <c r="D5844" s="14">
        <v>10</v>
      </c>
      <c r="E5844" s="15">
        <v>294.11</v>
      </c>
      <c r="F5844" s="16" t="s">
        <v>8</v>
      </c>
      <c r="G5844" s="38" t="str">
        <f>HYPERLINK("http://enext.ua/l0830010")</f>
        <v>http://enext.ua/l0830010</v>
      </c>
    </row>
    <row r="5845" spans="2:7" ht="11.25" outlineLevel="5" x14ac:dyDescent="0.2">
      <c r="B5845" s="14" t="s">
        <v>11007</v>
      </c>
      <c r="C5845" s="14" t="s">
        <v>11008</v>
      </c>
      <c r="D5845" s="14">
        <v>10</v>
      </c>
      <c r="E5845" s="15">
        <v>294.11</v>
      </c>
      <c r="F5845" s="16" t="s">
        <v>8</v>
      </c>
      <c r="G5845" s="38" t="str">
        <f>HYPERLINK("http://enext.ua/l0830007")</f>
        <v>http://enext.ua/l0830007</v>
      </c>
    </row>
    <row r="5846" spans="2:7" ht="11.25" outlineLevel="5" x14ac:dyDescent="0.2">
      <c r="B5846" s="14" t="s">
        <v>11009</v>
      </c>
      <c r="C5846" s="14" t="s">
        <v>11010</v>
      </c>
      <c r="D5846" s="14">
        <v>10</v>
      </c>
      <c r="E5846" s="15">
        <v>294.11</v>
      </c>
      <c r="F5846" s="16" t="s">
        <v>8</v>
      </c>
      <c r="G5846" s="38" t="str">
        <f>HYPERLINK("http://enext.ua/l0830008")</f>
        <v>http://enext.ua/l0830008</v>
      </c>
    </row>
    <row r="5847" spans="2:7" ht="12" outlineLevel="4" x14ac:dyDescent="0.2">
      <c r="B5847" s="12"/>
      <c r="C5847" s="37" t="s">
        <v>11011</v>
      </c>
      <c r="D5847" s="12"/>
      <c r="E5847" s="13"/>
      <c r="F5847" s="13"/>
      <c r="G5847" s="12"/>
    </row>
    <row r="5848" spans="2:7" ht="11.25" outlineLevel="5" x14ac:dyDescent="0.2">
      <c r="B5848" s="14" t="s">
        <v>11012</v>
      </c>
      <c r="C5848" s="14" t="s">
        <v>11013</v>
      </c>
      <c r="D5848" s="14">
        <v>1</v>
      </c>
      <c r="E5848" s="15">
        <v>126.7</v>
      </c>
      <c r="F5848" s="16" t="s">
        <v>8</v>
      </c>
      <c r="G5848" s="38" t="str">
        <f>HYPERLINK("http://enext.ua/l0860001")</f>
        <v>http://enext.ua/l0860001</v>
      </c>
    </row>
    <row r="5849" spans="2:7" ht="22.5" outlineLevel="5" x14ac:dyDescent="0.2">
      <c r="B5849" s="14" t="s">
        <v>11014</v>
      </c>
      <c r="C5849" s="14" t="s">
        <v>11015</v>
      </c>
      <c r="D5849" s="14">
        <v>1</v>
      </c>
      <c r="E5849" s="15">
        <v>173.33</v>
      </c>
      <c r="F5849" s="16" t="s">
        <v>8</v>
      </c>
      <c r="G5849" s="38" t="str">
        <f>HYPERLINK("http://enext.ua/l0860002")</f>
        <v>http://enext.ua/l0860002</v>
      </c>
    </row>
    <row r="5850" spans="2:7" ht="22.5" outlineLevel="5" x14ac:dyDescent="0.2">
      <c r="B5850" s="14" t="s">
        <v>11016</v>
      </c>
      <c r="C5850" s="14" t="s">
        <v>11017</v>
      </c>
      <c r="D5850" s="14">
        <v>1</v>
      </c>
      <c r="E5850" s="15">
        <v>218.2</v>
      </c>
      <c r="F5850" s="16" t="s">
        <v>8</v>
      </c>
      <c r="G5850" s="38" t="str">
        <f>HYPERLINK("http://enext.ua/l0860003")</f>
        <v>http://enext.ua/l0860003</v>
      </c>
    </row>
    <row r="5851" spans="2:7" ht="22.5" outlineLevel="5" x14ac:dyDescent="0.2">
      <c r="B5851" s="14" t="s">
        <v>11018</v>
      </c>
      <c r="C5851" s="14" t="s">
        <v>11019</v>
      </c>
      <c r="D5851" s="14">
        <v>1</v>
      </c>
      <c r="E5851" s="15">
        <v>173.33</v>
      </c>
      <c r="F5851" s="16" t="s">
        <v>8</v>
      </c>
      <c r="G5851" s="38" t="str">
        <f>HYPERLINK("http://enext.ua/l0860007")</f>
        <v>http://enext.ua/l0860007</v>
      </c>
    </row>
    <row r="5852" spans="2:7" ht="22.5" outlineLevel="5" x14ac:dyDescent="0.2">
      <c r="B5852" s="14" t="s">
        <v>11020</v>
      </c>
      <c r="C5852" s="14" t="s">
        <v>11021</v>
      </c>
      <c r="D5852" s="14">
        <v>1</v>
      </c>
      <c r="E5852" s="15">
        <v>227.88</v>
      </c>
      <c r="F5852" s="16" t="s">
        <v>8</v>
      </c>
      <c r="G5852" s="38" t="str">
        <f>HYPERLINK("http://enext.ua/l0860008")</f>
        <v>http://enext.ua/l0860008</v>
      </c>
    </row>
    <row r="5853" spans="2:7" ht="22.5" outlineLevel="5" x14ac:dyDescent="0.2">
      <c r="B5853" s="14" t="s">
        <v>11022</v>
      </c>
      <c r="C5853" s="14" t="s">
        <v>11023</v>
      </c>
      <c r="D5853" s="14">
        <v>1</v>
      </c>
      <c r="E5853" s="15">
        <v>270.99</v>
      </c>
      <c r="F5853" s="16" t="s">
        <v>8</v>
      </c>
      <c r="G5853" s="38" t="str">
        <f>HYPERLINK("http://enext.ua/l0860009")</f>
        <v>http://enext.ua/l0860009</v>
      </c>
    </row>
    <row r="5854" spans="2:7" ht="22.5" outlineLevel="5" x14ac:dyDescent="0.2">
      <c r="B5854" s="14" t="s">
        <v>11024</v>
      </c>
      <c r="C5854" s="14" t="s">
        <v>11025</v>
      </c>
      <c r="D5854" s="14">
        <v>1</v>
      </c>
      <c r="E5854" s="15">
        <v>141.66</v>
      </c>
      <c r="F5854" s="16" t="s">
        <v>8</v>
      </c>
      <c r="G5854" s="38" t="str">
        <f>HYPERLINK("http://enext.ua/l0860004")</f>
        <v>http://enext.ua/l0860004</v>
      </c>
    </row>
    <row r="5855" spans="2:7" ht="22.5" outlineLevel="5" x14ac:dyDescent="0.2">
      <c r="B5855" s="14" t="s">
        <v>11026</v>
      </c>
      <c r="C5855" s="14" t="s">
        <v>11027</v>
      </c>
      <c r="D5855" s="14">
        <v>1</v>
      </c>
      <c r="E5855" s="15">
        <v>194.45</v>
      </c>
      <c r="F5855" s="16" t="s">
        <v>8</v>
      </c>
      <c r="G5855" s="38" t="str">
        <f>HYPERLINK("http://enext.ua/l0860005")</f>
        <v>http://enext.ua/l0860005</v>
      </c>
    </row>
    <row r="5856" spans="2:7" ht="22.5" outlineLevel="5" x14ac:dyDescent="0.2">
      <c r="B5856" s="14" t="s">
        <v>11028</v>
      </c>
      <c r="C5856" s="14" t="s">
        <v>11029</v>
      </c>
      <c r="D5856" s="14">
        <v>1</v>
      </c>
      <c r="E5856" s="15">
        <v>248.11</v>
      </c>
      <c r="F5856" s="16" t="s">
        <v>8</v>
      </c>
      <c r="G5856" s="38" t="str">
        <f>HYPERLINK("http://enext.ua/l0860006")</f>
        <v>http://enext.ua/l0860006</v>
      </c>
    </row>
    <row r="5857" spans="2:7" ht="22.5" outlineLevel="5" x14ac:dyDescent="0.2">
      <c r="B5857" s="14" t="s">
        <v>11030</v>
      </c>
      <c r="C5857" s="14" t="s">
        <v>11031</v>
      </c>
      <c r="D5857" s="14">
        <v>1</v>
      </c>
      <c r="E5857" s="15">
        <v>183</v>
      </c>
      <c r="F5857" s="16" t="s">
        <v>8</v>
      </c>
      <c r="G5857" s="38" t="str">
        <f>HYPERLINK("http://enext.ua/l0860010")</f>
        <v>http://enext.ua/l0860010</v>
      </c>
    </row>
    <row r="5858" spans="2:7" ht="22.5" outlineLevel="5" x14ac:dyDescent="0.2">
      <c r="B5858" s="14" t="s">
        <v>11032</v>
      </c>
      <c r="C5858" s="14" t="s">
        <v>11033</v>
      </c>
      <c r="D5858" s="14">
        <v>1</v>
      </c>
      <c r="E5858" s="15">
        <v>234.04</v>
      </c>
      <c r="F5858" s="16" t="s">
        <v>8</v>
      </c>
      <c r="G5858" s="38" t="str">
        <f>HYPERLINK("http://enext.ua/l0860011")</f>
        <v>http://enext.ua/l0860011</v>
      </c>
    </row>
    <row r="5859" spans="2:7" ht="22.5" outlineLevel="5" x14ac:dyDescent="0.2">
      <c r="B5859" s="14" t="s">
        <v>11034</v>
      </c>
      <c r="C5859" s="14" t="s">
        <v>11035</v>
      </c>
      <c r="D5859" s="14">
        <v>1</v>
      </c>
      <c r="E5859" s="15">
        <v>314.11</v>
      </c>
      <c r="F5859" s="16" t="s">
        <v>8</v>
      </c>
      <c r="G5859" s="38" t="str">
        <f>HYPERLINK("http://enext.ua/l0860012")</f>
        <v>http://enext.ua/l0860012</v>
      </c>
    </row>
    <row r="5860" spans="2:7" ht="11.25" outlineLevel="5" x14ac:dyDescent="0.2">
      <c r="B5860" s="14" t="s">
        <v>11036</v>
      </c>
      <c r="C5860" s="14" t="s">
        <v>11037</v>
      </c>
      <c r="D5860" s="14">
        <v>1</v>
      </c>
      <c r="E5860" s="15">
        <v>61.82</v>
      </c>
      <c r="F5860" s="16" t="s">
        <v>8</v>
      </c>
      <c r="G5860" s="14"/>
    </row>
    <row r="5861" spans="2:7" ht="11.25" outlineLevel="5" x14ac:dyDescent="0.2">
      <c r="B5861" s="14" t="s">
        <v>11038</v>
      </c>
      <c r="C5861" s="14" t="s">
        <v>11039</v>
      </c>
      <c r="D5861" s="14">
        <v>1</v>
      </c>
      <c r="E5861" s="15">
        <v>61.82</v>
      </c>
      <c r="F5861" s="16" t="s">
        <v>8</v>
      </c>
      <c r="G5861" s="14"/>
    </row>
    <row r="5862" spans="2:7" ht="11.25" outlineLevel="5" x14ac:dyDescent="0.2">
      <c r="B5862" s="14" t="s">
        <v>11040</v>
      </c>
      <c r="C5862" s="14" t="s">
        <v>11041</v>
      </c>
      <c r="D5862" s="14">
        <v>1</v>
      </c>
      <c r="E5862" s="15">
        <v>61.82</v>
      </c>
      <c r="F5862" s="16" t="s">
        <v>8</v>
      </c>
      <c r="G5862" s="14"/>
    </row>
    <row r="5863" spans="2:7" ht="11.25" outlineLevel="5" x14ac:dyDescent="0.2">
      <c r="B5863" s="14" t="s">
        <v>11042</v>
      </c>
      <c r="C5863" s="14" t="s">
        <v>11043</v>
      </c>
      <c r="D5863" s="14">
        <v>1</v>
      </c>
      <c r="E5863" s="15">
        <v>61.82</v>
      </c>
      <c r="F5863" s="16" t="s">
        <v>8</v>
      </c>
      <c r="G5863" s="14"/>
    </row>
    <row r="5864" spans="2:7" ht="12" outlineLevel="4" x14ac:dyDescent="0.2">
      <c r="B5864" s="12"/>
      <c r="C5864" s="37" t="s">
        <v>11044</v>
      </c>
      <c r="D5864" s="12"/>
      <c r="E5864" s="13"/>
      <c r="F5864" s="13"/>
      <c r="G5864" s="12"/>
    </row>
    <row r="5865" spans="2:7" ht="11.25" outlineLevel="5" x14ac:dyDescent="0.2">
      <c r="B5865" s="14" t="s">
        <v>11045</v>
      </c>
      <c r="C5865" s="14" t="s">
        <v>11046</v>
      </c>
      <c r="D5865" s="14">
        <v>2</v>
      </c>
      <c r="E5865" s="15">
        <v>706.62</v>
      </c>
      <c r="F5865" s="16" t="s">
        <v>8</v>
      </c>
      <c r="G5865" s="38" t="str">
        <f>HYPERLINK("http://enext.ua/l0850007")</f>
        <v>http://enext.ua/l0850007</v>
      </c>
    </row>
    <row r="5866" spans="2:7" ht="11.25" outlineLevel="5" x14ac:dyDescent="0.2">
      <c r="B5866" s="14" t="s">
        <v>11047</v>
      </c>
      <c r="C5866" s="14" t="s">
        <v>11048</v>
      </c>
      <c r="D5866" s="14">
        <v>2</v>
      </c>
      <c r="E5866" s="15">
        <v>706.62</v>
      </c>
      <c r="F5866" s="16" t="s">
        <v>8</v>
      </c>
      <c r="G5866" s="38" t="str">
        <f>HYPERLINK("http://enext.ua/l0850001")</f>
        <v>http://enext.ua/l0850001</v>
      </c>
    </row>
    <row r="5867" spans="2:7" ht="11.25" outlineLevel="5" x14ac:dyDescent="0.2">
      <c r="B5867" s="14" t="s">
        <v>11049</v>
      </c>
      <c r="C5867" s="14" t="s">
        <v>11050</v>
      </c>
      <c r="D5867" s="14">
        <v>1</v>
      </c>
      <c r="E5867" s="15">
        <v>327.97</v>
      </c>
      <c r="F5867" s="16" t="s">
        <v>8</v>
      </c>
      <c r="G5867" s="38" t="str">
        <f>HYPERLINK("http://enext.ua/l0850010")</f>
        <v>http://enext.ua/l0850010</v>
      </c>
    </row>
    <row r="5868" spans="2:7" ht="11.25" outlineLevel="5" x14ac:dyDescent="0.2">
      <c r="B5868" s="14" t="s">
        <v>11051</v>
      </c>
      <c r="C5868" s="14" t="s">
        <v>11052</v>
      </c>
      <c r="D5868" s="14">
        <v>1</v>
      </c>
      <c r="E5868" s="15">
        <v>78.7</v>
      </c>
      <c r="F5868" s="16" t="s">
        <v>8</v>
      </c>
      <c r="G5868" s="38" t="str">
        <f>HYPERLINK("http://enext.ua/l0850011")</f>
        <v>http://enext.ua/l0850011</v>
      </c>
    </row>
    <row r="5869" spans="2:7" ht="22.5" outlineLevel="5" x14ac:dyDescent="0.2">
      <c r="B5869" s="14" t="s">
        <v>11053</v>
      </c>
      <c r="C5869" s="14" t="s">
        <v>11054</v>
      </c>
      <c r="D5869" s="14">
        <v>1</v>
      </c>
      <c r="E5869" s="15">
        <v>100</v>
      </c>
      <c r="F5869" s="16" t="s">
        <v>8</v>
      </c>
      <c r="G5869" s="14"/>
    </row>
    <row r="5870" spans="2:7" ht="11.25" outlineLevel="5" x14ac:dyDescent="0.2">
      <c r="B5870" s="14" t="s">
        <v>11055</v>
      </c>
      <c r="C5870" s="14" t="s">
        <v>11056</v>
      </c>
      <c r="D5870" s="14">
        <v>1</v>
      </c>
      <c r="E5870" s="15">
        <v>71.19</v>
      </c>
      <c r="F5870" s="16" t="s">
        <v>8</v>
      </c>
      <c r="G5870" s="14"/>
    </row>
    <row r="5871" spans="2:7" ht="22.5" outlineLevel="5" x14ac:dyDescent="0.2">
      <c r="B5871" s="14" t="s">
        <v>11057</v>
      </c>
      <c r="C5871" s="14" t="s">
        <v>11058</v>
      </c>
      <c r="D5871" s="14">
        <v>1</v>
      </c>
      <c r="E5871" s="15">
        <v>435.64</v>
      </c>
      <c r="F5871" s="16" t="s">
        <v>8</v>
      </c>
      <c r="G5871" s="38" t="str">
        <f>HYPERLINK("http://enext.ua/l0850005")</f>
        <v>http://enext.ua/l0850005</v>
      </c>
    </row>
    <row r="5872" spans="2:7" ht="22.5" outlineLevel="5" x14ac:dyDescent="0.2">
      <c r="B5872" s="14" t="s">
        <v>11059</v>
      </c>
      <c r="C5872" s="14" t="s">
        <v>11060</v>
      </c>
      <c r="D5872" s="14">
        <v>1</v>
      </c>
      <c r="E5872" s="15">
        <v>435.64</v>
      </c>
      <c r="F5872" s="16" t="s">
        <v>8</v>
      </c>
      <c r="G5872" s="14"/>
    </row>
    <row r="5873" spans="2:7" ht="22.5" outlineLevel="5" x14ac:dyDescent="0.2">
      <c r="B5873" s="14" t="s">
        <v>11061</v>
      </c>
      <c r="C5873" s="14" t="s">
        <v>11062</v>
      </c>
      <c r="D5873" s="14">
        <v>1</v>
      </c>
      <c r="E5873" s="15">
        <v>435.64</v>
      </c>
      <c r="F5873" s="16" t="s">
        <v>8</v>
      </c>
      <c r="G5873" s="14"/>
    </row>
    <row r="5874" spans="2:7" ht="22.5" outlineLevel="5" x14ac:dyDescent="0.2">
      <c r="B5874" s="14" t="s">
        <v>11063</v>
      </c>
      <c r="C5874" s="14" t="s">
        <v>11064</v>
      </c>
      <c r="D5874" s="14">
        <v>1</v>
      </c>
      <c r="E5874" s="15">
        <v>435.64</v>
      </c>
      <c r="F5874" s="16" t="s">
        <v>8</v>
      </c>
      <c r="G5874" s="38" t="str">
        <f>HYPERLINK("http://enext.ua/l0850002")</f>
        <v>http://enext.ua/l0850002</v>
      </c>
    </row>
    <row r="5875" spans="2:7" ht="22.5" outlineLevel="5" x14ac:dyDescent="0.2">
      <c r="B5875" s="14" t="s">
        <v>11065</v>
      </c>
      <c r="C5875" s="14" t="s">
        <v>11066</v>
      </c>
      <c r="D5875" s="14">
        <v>1</v>
      </c>
      <c r="E5875" s="15">
        <v>74.78</v>
      </c>
      <c r="F5875" s="16" t="s">
        <v>8</v>
      </c>
      <c r="G5875" s="14"/>
    </row>
    <row r="5876" spans="2:7" ht="22.5" outlineLevel="5" x14ac:dyDescent="0.2">
      <c r="B5876" s="14" t="s">
        <v>11067</v>
      </c>
      <c r="C5876" s="14" t="s">
        <v>11068</v>
      </c>
      <c r="D5876" s="14">
        <v>1</v>
      </c>
      <c r="E5876" s="15">
        <v>90.91</v>
      </c>
      <c r="F5876" s="16" t="s">
        <v>8</v>
      </c>
      <c r="G5876" s="14"/>
    </row>
    <row r="5877" spans="2:7" ht="12" outlineLevel="4" x14ac:dyDescent="0.2">
      <c r="B5877" s="12"/>
      <c r="C5877" s="37" t="s">
        <v>11069</v>
      </c>
      <c r="D5877" s="12"/>
      <c r="E5877" s="13"/>
      <c r="F5877" s="13"/>
      <c r="G5877" s="12"/>
    </row>
    <row r="5878" spans="2:7" ht="11.25" outlineLevel="5" x14ac:dyDescent="0.2">
      <c r="B5878" s="14" t="s">
        <v>11070</v>
      </c>
      <c r="C5878" s="14" t="s">
        <v>11071</v>
      </c>
      <c r="D5878" s="14">
        <v>1</v>
      </c>
      <c r="E5878" s="15">
        <v>442.9</v>
      </c>
      <c r="F5878" s="16" t="s">
        <v>8</v>
      </c>
      <c r="G5878" s="14"/>
    </row>
    <row r="5879" spans="2:7" ht="11.25" outlineLevel="5" x14ac:dyDescent="0.2">
      <c r="B5879" s="14" t="s">
        <v>11072</v>
      </c>
      <c r="C5879" s="14" t="s">
        <v>11073</v>
      </c>
      <c r="D5879" s="14">
        <v>1</v>
      </c>
      <c r="E5879" s="15">
        <v>643.63</v>
      </c>
      <c r="F5879" s="16" t="s">
        <v>8</v>
      </c>
      <c r="G5879" s="14"/>
    </row>
    <row r="5880" spans="2:7" ht="11.25" outlineLevel="5" x14ac:dyDescent="0.2">
      <c r="B5880" s="14" t="s">
        <v>11074</v>
      </c>
      <c r="C5880" s="14" t="s">
        <v>11075</v>
      </c>
      <c r="D5880" s="14">
        <v>1</v>
      </c>
      <c r="E5880" s="15">
        <v>518.5</v>
      </c>
      <c r="F5880" s="16" t="s">
        <v>8</v>
      </c>
      <c r="G5880" s="14"/>
    </row>
    <row r="5881" spans="2:7" ht="11.25" outlineLevel="5" x14ac:dyDescent="0.2">
      <c r="B5881" s="14" t="s">
        <v>11076</v>
      </c>
      <c r="C5881" s="14" t="s">
        <v>11077</v>
      </c>
      <c r="D5881" s="14">
        <v>1</v>
      </c>
      <c r="E5881" s="15">
        <v>900</v>
      </c>
      <c r="F5881" s="16" t="s">
        <v>8</v>
      </c>
      <c r="G5881" s="14"/>
    </row>
    <row r="5882" spans="2:7" ht="12" outlineLevel="3" x14ac:dyDescent="0.2">
      <c r="B5882" s="10"/>
      <c r="C5882" s="36" t="s">
        <v>11078</v>
      </c>
      <c r="D5882" s="10"/>
      <c r="E5882" s="11"/>
      <c r="F5882" s="11"/>
      <c r="G5882" s="10"/>
    </row>
    <row r="5883" spans="2:7" ht="12" outlineLevel="4" x14ac:dyDescent="0.2">
      <c r="B5883" s="12"/>
      <c r="C5883" s="37" t="s">
        <v>11079</v>
      </c>
      <c r="D5883" s="12"/>
      <c r="E5883" s="13"/>
      <c r="F5883" s="13"/>
      <c r="G5883" s="12"/>
    </row>
    <row r="5884" spans="2:7" ht="11.25" outlineLevel="5" x14ac:dyDescent="0.2">
      <c r="B5884" s="14" t="s">
        <v>11080</v>
      </c>
      <c r="C5884" s="14" t="s">
        <v>11081</v>
      </c>
      <c r="D5884" s="14">
        <v>1</v>
      </c>
      <c r="E5884" s="15">
        <v>235.65</v>
      </c>
      <c r="F5884" s="16" t="s">
        <v>8</v>
      </c>
      <c r="G5884" s="38" t="str">
        <f>HYPERLINK("http://enext.ua/l001047")</f>
        <v>http://enext.ua/l001047</v>
      </c>
    </row>
    <row r="5885" spans="2:7" ht="11.25" outlineLevel="5" x14ac:dyDescent="0.2">
      <c r="B5885" s="14" t="s">
        <v>11082</v>
      </c>
      <c r="C5885" s="14" t="s">
        <v>11083</v>
      </c>
      <c r="D5885" s="14">
        <v>1</v>
      </c>
      <c r="E5885" s="15">
        <v>251.05</v>
      </c>
      <c r="F5885" s="16" t="s">
        <v>8</v>
      </c>
      <c r="G5885" s="38" t="str">
        <f>HYPERLINK("http://enext.ua/l001048")</f>
        <v>http://enext.ua/l001048</v>
      </c>
    </row>
    <row r="5886" spans="2:7" ht="11.25" outlineLevel="5" x14ac:dyDescent="0.2">
      <c r="B5886" s="14" t="s">
        <v>11084</v>
      </c>
      <c r="C5886" s="14" t="s">
        <v>11085</v>
      </c>
      <c r="D5886" s="14">
        <v>1</v>
      </c>
      <c r="E5886" s="15">
        <v>283.31</v>
      </c>
      <c r="F5886" s="16" t="s">
        <v>8</v>
      </c>
      <c r="G5886" s="38" t="str">
        <f>HYPERLINK("http://enext.ua/l001049")</f>
        <v>http://enext.ua/l001049</v>
      </c>
    </row>
    <row r="5887" spans="2:7" ht="11.25" outlineLevel="5" x14ac:dyDescent="0.2">
      <c r="B5887" s="14" t="s">
        <v>11086</v>
      </c>
      <c r="C5887" s="14" t="s">
        <v>11087</v>
      </c>
      <c r="D5887" s="14">
        <v>1</v>
      </c>
      <c r="E5887" s="15">
        <v>337.64</v>
      </c>
      <c r="F5887" s="16" t="s">
        <v>8</v>
      </c>
      <c r="G5887" s="38" t="str">
        <f>HYPERLINK("http://enext.ua/l001050")</f>
        <v>http://enext.ua/l001050</v>
      </c>
    </row>
    <row r="5888" spans="2:7" ht="11.25" outlineLevel="5" x14ac:dyDescent="0.2">
      <c r="B5888" s="14" t="s">
        <v>11088</v>
      </c>
      <c r="C5888" s="14" t="s">
        <v>11089</v>
      </c>
      <c r="D5888" s="14">
        <v>1</v>
      </c>
      <c r="E5888" s="15">
        <v>419.58</v>
      </c>
      <c r="F5888" s="16" t="s">
        <v>8</v>
      </c>
      <c r="G5888" s="38" t="str">
        <f>HYPERLINK("http://enext.ua/l001051")</f>
        <v>http://enext.ua/l001051</v>
      </c>
    </row>
    <row r="5889" spans="2:7" ht="11.25" outlineLevel="5" x14ac:dyDescent="0.2">
      <c r="B5889" s="14" t="s">
        <v>11090</v>
      </c>
      <c r="C5889" s="14" t="s">
        <v>11091</v>
      </c>
      <c r="D5889" s="14">
        <v>1</v>
      </c>
      <c r="E5889" s="15">
        <v>400.4</v>
      </c>
      <c r="F5889" s="16" t="s">
        <v>8</v>
      </c>
      <c r="G5889" s="38" t="str">
        <f>HYPERLINK("http://enext.ua/l001052")</f>
        <v>http://enext.ua/l001052</v>
      </c>
    </row>
    <row r="5890" spans="2:7" ht="11.25" outlineLevel="5" x14ac:dyDescent="0.2">
      <c r="B5890" s="14" t="s">
        <v>11092</v>
      </c>
      <c r="C5890" s="14" t="s">
        <v>11093</v>
      </c>
      <c r="D5890" s="14">
        <v>1</v>
      </c>
      <c r="E5890" s="15">
        <v>390.52</v>
      </c>
      <c r="F5890" s="16" t="s">
        <v>8</v>
      </c>
      <c r="G5890" s="38" t="str">
        <f>HYPERLINK("http://enext.ua/l001054")</f>
        <v>http://enext.ua/l001054</v>
      </c>
    </row>
    <row r="5891" spans="2:7" ht="11.25" outlineLevel="5" x14ac:dyDescent="0.2">
      <c r="B5891" s="14" t="s">
        <v>11094</v>
      </c>
      <c r="C5891" s="14" t="s">
        <v>11095</v>
      </c>
      <c r="D5891" s="14">
        <v>1</v>
      </c>
      <c r="E5891" s="15">
        <v>286.20999999999998</v>
      </c>
      <c r="F5891" s="16" t="s">
        <v>8</v>
      </c>
      <c r="G5891" s="38" t="str">
        <f>HYPERLINK("http://enext.ua/l001055")</f>
        <v>http://enext.ua/l001055</v>
      </c>
    </row>
    <row r="5892" spans="2:7" ht="11.25" outlineLevel="5" x14ac:dyDescent="0.2">
      <c r="B5892" s="14" t="s">
        <v>11096</v>
      </c>
      <c r="C5892" s="14" t="s">
        <v>11097</v>
      </c>
      <c r="D5892" s="14">
        <v>1</v>
      </c>
      <c r="E5892" s="15">
        <v>535.22</v>
      </c>
      <c r="F5892" s="16" t="s">
        <v>8</v>
      </c>
      <c r="G5892" s="38" t="str">
        <f>HYPERLINK("http://enext.ua/l001056")</f>
        <v>http://enext.ua/l001056</v>
      </c>
    </row>
    <row r="5893" spans="2:7" ht="22.5" outlineLevel="5" x14ac:dyDescent="0.2">
      <c r="B5893" s="14" t="s">
        <v>11098</v>
      </c>
      <c r="C5893" s="14" t="s">
        <v>11099</v>
      </c>
      <c r="D5893" s="14">
        <v>1</v>
      </c>
      <c r="E5893" s="15">
        <v>484.96</v>
      </c>
      <c r="F5893" s="16" t="s">
        <v>8</v>
      </c>
      <c r="G5893" s="38" t="str">
        <f>HYPERLINK("http://enext.ua/l001104")</f>
        <v>http://enext.ua/l001104</v>
      </c>
    </row>
    <row r="5894" spans="2:7" ht="22.5" outlineLevel="5" x14ac:dyDescent="0.2">
      <c r="B5894" s="14" t="s">
        <v>11100</v>
      </c>
      <c r="C5894" s="14" t="s">
        <v>11101</v>
      </c>
      <c r="D5894" s="14">
        <v>1</v>
      </c>
      <c r="E5894" s="15">
        <v>515.76</v>
      </c>
      <c r="F5894" s="16" t="s">
        <v>8</v>
      </c>
      <c r="G5894" s="38" t="str">
        <f>HYPERLINK("http://enext.ua/l001105")</f>
        <v>http://enext.ua/l001105</v>
      </c>
    </row>
    <row r="5895" spans="2:7" ht="22.5" outlineLevel="5" x14ac:dyDescent="0.2">
      <c r="B5895" s="14" t="s">
        <v>11102</v>
      </c>
      <c r="C5895" s="14" t="s">
        <v>11103</v>
      </c>
      <c r="D5895" s="14">
        <v>1</v>
      </c>
      <c r="E5895" s="15">
        <v>702.59</v>
      </c>
      <c r="F5895" s="16" t="s">
        <v>8</v>
      </c>
      <c r="G5895" s="38" t="str">
        <f>HYPERLINK("http://enext.ua/l001106")</f>
        <v>http://enext.ua/l001106</v>
      </c>
    </row>
    <row r="5896" spans="2:7" ht="22.5" outlineLevel="5" x14ac:dyDescent="0.2">
      <c r="B5896" s="14" t="s">
        <v>11104</v>
      </c>
      <c r="C5896" s="14" t="s">
        <v>11105</v>
      </c>
      <c r="D5896" s="14">
        <v>1</v>
      </c>
      <c r="E5896" s="15">
        <v>799.35</v>
      </c>
      <c r="F5896" s="16" t="s">
        <v>8</v>
      </c>
      <c r="G5896" s="38" t="str">
        <f>HYPERLINK("http://enext.ua/l001107")</f>
        <v>http://enext.ua/l001107</v>
      </c>
    </row>
    <row r="5897" spans="2:7" ht="11.25" outlineLevel="5" x14ac:dyDescent="0.2">
      <c r="B5897" s="14" t="s">
        <v>11106</v>
      </c>
      <c r="C5897" s="14" t="s">
        <v>11107</v>
      </c>
      <c r="D5897" s="14">
        <v>1</v>
      </c>
      <c r="E5897" s="15">
        <v>395.75</v>
      </c>
      <c r="F5897" s="16" t="s">
        <v>8</v>
      </c>
      <c r="G5897" s="38" t="str">
        <f>HYPERLINK("http://enext.ua/l001059")</f>
        <v>http://enext.ua/l001059</v>
      </c>
    </row>
    <row r="5898" spans="2:7" ht="12" outlineLevel="4" x14ac:dyDescent="0.2">
      <c r="B5898" s="12"/>
      <c r="C5898" s="37" t="s">
        <v>11108</v>
      </c>
      <c r="D5898" s="12"/>
      <c r="E5898" s="13"/>
      <c r="F5898" s="13"/>
      <c r="G5898" s="12"/>
    </row>
    <row r="5899" spans="2:7" ht="11.25" outlineLevel="5" x14ac:dyDescent="0.2">
      <c r="B5899" s="14" t="s">
        <v>11109</v>
      </c>
      <c r="C5899" s="14" t="s">
        <v>11110</v>
      </c>
      <c r="D5899" s="14">
        <v>1</v>
      </c>
      <c r="E5899" s="15">
        <v>257.74</v>
      </c>
      <c r="F5899" s="16" t="s">
        <v>8</v>
      </c>
      <c r="G5899" s="38" t="str">
        <f>HYPERLINK("http://enext.ua/l001019")</f>
        <v>http://enext.ua/l001019</v>
      </c>
    </row>
    <row r="5900" spans="2:7" ht="11.25" outlineLevel="5" x14ac:dyDescent="0.2">
      <c r="B5900" s="14" t="s">
        <v>11111</v>
      </c>
      <c r="C5900" s="14" t="s">
        <v>11112</v>
      </c>
      <c r="D5900" s="14">
        <v>1</v>
      </c>
      <c r="E5900" s="15">
        <v>283.31</v>
      </c>
      <c r="F5900" s="16" t="s">
        <v>8</v>
      </c>
      <c r="G5900" s="38" t="str">
        <f>HYPERLINK("http://enext.ua/l001021")</f>
        <v>http://enext.ua/l001021</v>
      </c>
    </row>
    <row r="5901" spans="2:7" ht="11.25" outlineLevel="5" x14ac:dyDescent="0.2">
      <c r="B5901" s="14" t="s">
        <v>11113</v>
      </c>
      <c r="C5901" s="14" t="s">
        <v>11114</v>
      </c>
      <c r="D5901" s="14">
        <v>6</v>
      </c>
      <c r="E5901" s="15">
        <v>385.59</v>
      </c>
      <c r="F5901" s="16" t="s">
        <v>8</v>
      </c>
      <c r="G5901" s="38" t="str">
        <f>HYPERLINK("http://enext.ua/l001022")</f>
        <v>http://enext.ua/l001022</v>
      </c>
    </row>
    <row r="5902" spans="2:7" ht="11.25" outlineLevel="5" x14ac:dyDescent="0.2">
      <c r="B5902" s="14" t="s">
        <v>11115</v>
      </c>
      <c r="C5902" s="14" t="s">
        <v>11116</v>
      </c>
      <c r="D5902" s="14">
        <v>1</v>
      </c>
      <c r="E5902" s="15">
        <v>350</v>
      </c>
      <c r="F5902" s="16" t="s">
        <v>8</v>
      </c>
      <c r="G5902" s="14"/>
    </row>
    <row r="5903" spans="2:7" ht="11.25" outlineLevel="5" x14ac:dyDescent="0.2">
      <c r="B5903" s="14" t="s">
        <v>11117</v>
      </c>
      <c r="C5903" s="14" t="s">
        <v>11118</v>
      </c>
      <c r="D5903" s="14">
        <v>1</v>
      </c>
      <c r="E5903" s="15">
        <v>443.7</v>
      </c>
      <c r="F5903" s="16" t="s">
        <v>8</v>
      </c>
      <c r="G5903" s="38" t="str">
        <f>HYPERLINK("http://enext.ua/l001024")</f>
        <v>http://enext.ua/l001024</v>
      </c>
    </row>
    <row r="5904" spans="2:7" ht="11.25" outlineLevel="5" x14ac:dyDescent="0.2">
      <c r="B5904" s="14" t="s">
        <v>11119</v>
      </c>
      <c r="C5904" s="14" t="s">
        <v>11120</v>
      </c>
      <c r="D5904" s="14">
        <v>1</v>
      </c>
      <c r="E5904" s="15">
        <v>419.3</v>
      </c>
      <c r="F5904" s="16" t="s">
        <v>8</v>
      </c>
      <c r="G5904" s="14"/>
    </row>
    <row r="5905" spans="2:7" ht="22.5" outlineLevel="5" x14ac:dyDescent="0.2">
      <c r="B5905" s="14" t="s">
        <v>11121</v>
      </c>
      <c r="C5905" s="14" t="s">
        <v>11122</v>
      </c>
      <c r="D5905" s="14">
        <v>1</v>
      </c>
      <c r="E5905" s="15">
        <v>276.33</v>
      </c>
      <c r="F5905" s="16" t="s">
        <v>8</v>
      </c>
      <c r="G5905" s="38" t="str">
        <f>HYPERLINK("http://enext.ua/l001066")</f>
        <v>http://enext.ua/l001066</v>
      </c>
    </row>
    <row r="5906" spans="2:7" ht="22.5" outlineLevel="5" x14ac:dyDescent="0.2">
      <c r="B5906" s="14" t="s">
        <v>11123</v>
      </c>
      <c r="C5906" s="14" t="s">
        <v>11124</v>
      </c>
      <c r="D5906" s="14">
        <v>1</v>
      </c>
      <c r="E5906" s="15">
        <v>312.36</v>
      </c>
      <c r="F5906" s="16" t="s">
        <v>8</v>
      </c>
      <c r="G5906" s="38" t="str">
        <f>HYPERLINK("http://enext.ua/l001068")</f>
        <v>http://enext.ua/l001068</v>
      </c>
    </row>
    <row r="5907" spans="2:7" ht="22.5" outlineLevel="5" x14ac:dyDescent="0.2">
      <c r="B5907" s="14" t="s">
        <v>11125</v>
      </c>
      <c r="C5907" s="14" t="s">
        <v>11126</v>
      </c>
      <c r="D5907" s="14">
        <v>1</v>
      </c>
      <c r="E5907" s="15">
        <v>439.05</v>
      </c>
      <c r="F5907" s="16" t="s">
        <v>8</v>
      </c>
      <c r="G5907" s="38" t="str">
        <f>HYPERLINK("http://enext.ua/l001069")</f>
        <v>http://enext.ua/l001069</v>
      </c>
    </row>
    <row r="5908" spans="2:7" ht="22.5" outlineLevel="5" x14ac:dyDescent="0.2">
      <c r="B5908" s="14" t="s">
        <v>11127</v>
      </c>
      <c r="C5908" s="14" t="s">
        <v>11128</v>
      </c>
      <c r="D5908" s="14">
        <v>1</v>
      </c>
      <c r="E5908" s="15">
        <v>492.51</v>
      </c>
      <c r="F5908" s="16" t="s">
        <v>8</v>
      </c>
      <c r="G5908" s="38" t="str">
        <f>HYPERLINK("http://enext.ua/l001071")</f>
        <v>http://enext.ua/l001071</v>
      </c>
    </row>
    <row r="5909" spans="2:7" ht="12" outlineLevel="4" x14ac:dyDescent="0.2">
      <c r="B5909" s="12"/>
      <c r="C5909" s="37" t="s">
        <v>11129</v>
      </c>
      <c r="D5909" s="12"/>
      <c r="E5909" s="13"/>
      <c r="F5909" s="13"/>
      <c r="G5909" s="12"/>
    </row>
    <row r="5910" spans="2:7" ht="11.25" outlineLevel="5" x14ac:dyDescent="0.2">
      <c r="B5910" s="14" t="s">
        <v>11130</v>
      </c>
      <c r="C5910" s="14" t="s">
        <v>11131</v>
      </c>
      <c r="D5910" s="14">
        <v>1</v>
      </c>
      <c r="E5910" s="15">
        <v>157.75</v>
      </c>
      <c r="F5910" s="16" t="s">
        <v>8</v>
      </c>
      <c r="G5910" s="38" t="str">
        <f>HYPERLINK("http://enext.ua/l001110")</f>
        <v>http://enext.ua/l001110</v>
      </c>
    </row>
    <row r="5911" spans="2:7" ht="11.25" outlineLevel="5" x14ac:dyDescent="0.2">
      <c r="B5911" s="14" t="s">
        <v>11132</v>
      </c>
      <c r="C5911" s="14" t="s">
        <v>11133</v>
      </c>
      <c r="D5911" s="14">
        <v>1</v>
      </c>
      <c r="E5911" s="15">
        <v>185.22</v>
      </c>
      <c r="F5911" s="16" t="s">
        <v>8</v>
      </c>
      <c r="G5911" s="38" t="str">
        <f>HYPERLINK("http://enext.ua/l001111")</f>
        <v>http://enext.ua/l001111</v>
      </c>
    </row>
    <row r="5912" spans="2:7" ht="11.25" outlineLevel="5" x14ac:dyDescent="0.2">
      <c r="B5912" s="14" t="s">
        <v>11134</v>
      </c>
      <c r="C5912" s="14" t="s">
        <v>11135</v>
      </c>
      <c r="D5912" s="14">
        <v>1</v>
      </c>
      <c r="E5912" s="15">
        <v>293.42</v>
      </c>
      <c r="F5912" s="16" t="s">
        <v>8</v>
      </c>
      <c r="G5912" s="38" t="str">
        <f>HYPERLINK("http://enext.ua/l001112")</f>
        <v>http://enext.ua/l001112</v>
      </c>
    </row>
    <row r="5913" spans="2:7" ht="11.25" outlineLevel="5" x14ac:dyDescent="0.2">
      <c r="B5913" s="14" t="s">
        <v>11136</v>
      </c>
      <c r="C5913" s="14" t="s">
        <v>11137</v>
      </c>
      <c r="D5913" s="14">
        <v>1</v>
      </c>
      <c r="E5913" s="15">
        <v>36.659999999999997</v>
      </c>
      <c r="F5913" s="16" t="s">
        <v>8</v>
      </c>
      <c r="G5913" s="38" t="str">
        <f>HYPERLINK("http://enext.ua/l001090")</f>
        <v>http://enext.ua/l001090</v>
      </c>
    </row>
    <row r="5914" spans="2:7" ht="11.25" outlineLevel="5" x14ac:dyDescent="0.2">
      <c r="B5914" s="14" t="s">
        <v>11138</v>
      </c>
      <c r="C5914" s="14" t="s">
        <v>11139</v>
      </c>
      <c r="D5914" s="14">
        <v>1</v>
      </c>
      <c r="E5914" s="15">
        <v>55.05</v>
      </c>
      <c r="F5914" s="16" t="s">
        <v>8</v>
      </c>
      <c r="G5914" s="38" t="str">
        <f>HYPERLINK("http://enext.ua/l001091")</f>
        <v>http://enext.ua/l001091</v>
      </c>
    </row>
    <row r="5915" spans="2:7" ht="11.25" outlineLevel="5" x14ac:dyDescent="0.2">
      <c r="B5915" s="14" t="s">
        <v>11140</v>
      </c>
      <c r="C5915" s="14" t="s">
        <v>11141</v>
      </c>
      <c r="D5915" s="14">
        <v>1</v>
      </c>
      <c r="E5915" s="15">
        <v>64.239999999999995</v>
      </c>
      <c r="F5915" s="16" t="s">
        <v>8</v>
      </c>
      <c r="G5915" s="38" t="str">
        <f>HYPERLINK("http://enext.ua/l001092")</f>
        <v>http://enext.ua/l001092</v>
      </c>
    </row>
    <row r="5916" spans="2:7" ht="11.25" outlineLevel="5" x14ac:dyDescent="0.2">
      <c r="B5916" s="14" t="s">
        <v>11142</v>
      </c>
      <c r="C5916" s="14" t="s">
        <v>11143</v>
      </c>
      <c r="D5916" s="14">
        <v>1</v>
      </c>
      <c r="E5916" s="15">
        <v>180</v>
      </c>
      <c r="F5916" s="16" t="s">
        <v>8</v>
      </c>
      <c r="G5916" s="38" t="str">
        <f>HYPERLINK("http://enext.ua/l001003")</f>
        <v>http://enext.ua/l001003</v>
      </c>
    </row>
    <row r="5917" spans="2:7" ht="11.25" outlineLevel="5" x14ac:dyDescent="0.2">
      <c r="B5917" s="14" t="s">
        <v>11144</v>
      </c>
      <c r="C5917" s="14" t="s">
        <v>11145</v>
      </c>
      <c r="D5917" s="14">
        <v>1</v>
      </c>
      <c r="E5917" s="15">
        <v>442.82</v>
      </c>
      <c r="F5917" s="16" t="s">
        <v>8</v>
      </c>
      <c r="G5917" s="38" t="str">
        <f>HYPERLINK("http://enext.ua/l001004")</f>
        <v>http://enext.ua/l001004</v>
      </c>
    </row>
    <row r="5918" spans="2:7" ht="11.25" outlineLevel="5" x14ac:dyDescent="0.2">
      <c r="B5918" s="14" t="s">
        <v>11146</v>
      </c>
      <c r="C5918" s="14" t="s">
        <v>11147</v>
      </c>
      <c r="D5918" s="14">
        <v>1</v>
      </c>
      <c r="E5918" s="15">
        <v>172.73</v>
      </c>
      <c r="F5918" s="16" t="s">
        <v>8</v>
      </c>
      <c r="G5918" s="38" t="str">
        <f>HYPERLINK("http://enext.ua/l0490001")</f>
        <v>http://enext.ua/l0490001</v>
      </c>
    </row>
    <row r="5919" spans="2:7" ht="12" outlineLevel="4" x14ac:dyDescent="0.2">
      <c r="B5919" s="12"/>
      <c r="C5919" s="37" t="s">
        <v>11148</v>
      </c>
      <c r="D5919" s="12"/>
      <c r="E5919" s="13"/>
      <c r="F5919" s="13"/>
      <c r="G5919" s="12"/>
    </row>
    <row r="5920" spans="2:7" ht="22.5" outlineLevel="5" x14ac:dyDescent="0.2">
      <c r="B5920" s="14" t="s">
        <v>11149</v>
      </c>
      <c r="C5920" s="14" t="s">
        <v>11150</v>
      </c>
      <c r="D5920" s="14">
        <v>1</v>
      </c>
      <c r="E5920" s="15">
        <v>397.02</v>
      </c>
      <c r="F5920" s="16" t="s">
        <v>8</v>
      </c>
      <c r="G5920" s="38" t="str">
        <f>HYPERLINK("http://enext.ua/l001300")</f>
        <v>http://enext.ua/l001300</v>
      </c>
    </row>
    <row r="5921" spans="2:7" ht="22.5" outlineLevel="5" x14ac:dyDescent="0.2">
      <c r="B5921" s="14" t="s">
        <v>11151</v>
      </c>
      <c r="C5921" s="14" t="s">
        <v>11152</v>
      </c>
      <c r="D5921" s="14">
        <v>1</v>
      </c>
      <c r="E5921" s="15">
        <v>342.58</v>
      </c>
      <c r="F5921" s="16" t="s">
        <v>8</v>
      </c>
      <c r="G5921" s="38" t="str">
        <f>HYPERLINK("http://enext.ua/l001301")</f>
        <v>http://enext.ua/l001301</v>
      </c>
    </row>
    <row r="5922" spans="2:7" ht="22.5" outlineLevel="5" x14ac:dyDescent="0.2">
      <c r="B5922" s="14" t="s">
        <v>11153</v>
      </c>
      <c r="C5922" s="14" t="s">
        <v>11154</v>
      </c>
      <c r="D5922" s="14">
        <v>1</v>
      </c>
      <c r="E5922" s="15">
        <v>349.55</v>
      </c>
      <c r="F5922" s="16" t="s">
        <v>8</v>
      </c>
      <c r="G5922" s="38" t="str">
        <f>HYPERLINK("http://enext.ua/l001302")</f>
        <v>http://enext.ua/l001302</v>
      </c>
    </row>
    <row r="5923" spans="2:7" ht="11.25" outlineLevel="5" x14ac:dyDescent="0.2">
      <c r="B5923" s="14" t="s">
        <v>11155</v>
      </c>
      <c r="C5923" s="14" t="s">
        <v>11156</v>
      </c>
      <c r="D5923" s="14">
        <v>1</v>
      </c>
      <c r="E5923" s="15">
        <v>284.82</v>
      </c>
      <c r="F5923" s="16" t="s">
        <v>8</v>
      </c>
      <c r="G5923" s="38" t="str">
        <f>HYPERLINK("http://enext.ua/l001303")</f>
        <v>http://enext.ua/l001303</v>
      </c>
    </row>
    <row r="5924" spans="2:7" ht="22.5" outlineLevel="5" x14ac:dyDescent="0.2">
      <c r="B5924" s="14" t="s">
        <v>11157</v>
      </c>
      <c r="C5924" s="14" t="s">
        <v>11158</v>
      </c>
      <c r="D5924" s="14">
        <v>1</v>
      </c>
      <c r="E5924" s="15">
        <v>473.04</v>
      </c>
      <c r="F5924" s="16" t="s">
        <v>8</v>
      </c>
      <c r="G5924" s="38" t="str">
        <f>HYPERLINK("http://enext.ua/l001304")</f>
        <v>http://enext.ua/l001304</v>
      </c>
    </row>
    <row r="5925" spans="2:7" ht="22.5" outlineLevel="5" x14ac:dyDescent="0.2">
      <c r="B5925" s="14" t="s">
        <v>11159</v>
      </c>
      <c r="C5925" s="14" t="s">
        <v>11160</v>
      </c>
      <c r="D5925" s="14">
        <v>1</v>
      </c>
      <c r="E5925" s="15">
        <v>464.74</v>
      </c>
      <c r="F5925" s="16" t="s">
        <v>8</v>
      </c>
      <c r="G5925" s="38" t="str">
        <f>HYPERLINK("http://enext.ua/l001305")</f>
        <v>http://enext.ua/l001305</v>
      </c>
    </row>
    <row r="5926" spans="2:7" ht="11.25" outlineLevel="5" x14ac:dyDescent="0.2">
      <c r="B5926" s="14" t="s">
        <v>11161</v>
      </c>
      <c r="C5926" s="14" t="s">
        <v>11162</v>
      </c>
      <c r="D5926" s="14">
        <v>1</v>
      </c>
      <c r="E5926" s="15">
        <v>397.02</v>
      </c>
      <c r="F5926" s="16" t="s">
        <v>8</v>
      </c>
      <c r="G5926" s="38" t="str">
        <f>HYPERLINK("http://enext.ua/l001306")</f>
        <v>http://enext.ua/l001306</v>
      </c>
    </row>
    <row r="5927" spans="2:7" ht="11.25" outlineLevel="5" x14ac:dyDescent="0.2">
      <c r="B5927" s="14" t="s">
        <v>11163</v>
      </c>
      <c r="C5927" s="14" t="s">
        <v>11164</v>
      </c>
      <c r="D5927" s="14">
        <v>1</v>
      </c>
      <c r="E5927" s="15">
        <v>642</v>
      </c>
      <c r="F5927" s="16" t="s">
        <v>8</v>
      </c>
      <c r="G5927" s="38" t="str">
        <f>HYPERLINK("http://enext.ua/l001307")</f>
        <v>http://enext.ua/l001307</v>
      </c>
    </row>
    <row r="5928" spans="2:7" ht="22.5" outlineLevel="5" x14ac:dyDescent="0.2">
      <c r="B5928" s="14" t="s">
        <v>11165</v>
      </c>
      <c r="C5928" s="14" t="s">
        <v>11166</v>
      </c>
      <c r="D5928" s="14">
        <v>1</v>
      </c>
      <c r="E5928" s="15">
        <v>446.6</v>
      </c>
      <c r="F5928" s="16" t="s">
        <v>8</v>
      </c>
      <c r="G5928" s="38" t="str">
        <f>HYPERLINK("http://enext.ua/l001033")</f>
        <v>http://enext.ua/l001033</v>
      </c>
    </row>
    <row r="5929" spans="2:7" ht="22.5" outlineLevel="5" x14ac:dyDescent="0.2">
      <c r="B5929" s="14" t="s">
        <v>11167</v>
      </c>
      <c r="C5929" s="14" t="s">
        <v>11168</v>
      </c>
      <c r="D5929" s="14">
        <v>1</v>
      </c>
      <c r="E5929" s="15">
        <v>749.93</v>
      </c>
      <c r="F5929" s="16" t="s">
        <v>8</v>
      </c>
      <c r="G5929" s="38" t="str">
        <f>HYPERLINK("http://enext.ua/l001080")</f>
        <v>http://enext.ua/l001080</v>
      </c>
    </row>
    <row r="5930" spans="2:7" ht="22.5" outlineLevel="5" x14ac:dyDescent="0.2">
      <c r="B5930" s="14" t="s">
        <v>11169</v>
      </c>
      <c r="C5930" s="14" t="s">
        <v>11170</v>
      </c>
      <c r="D5930" s="14">
        <v>1</v>
      </c>
      <c r="E5930" s="15">
        <v>474.1</v>
      </c>
      <c r="F5930" s="16" t="s">
        <v>8</v>
      </c>
      <c r="G5930" s="14"/>
    </row>
    <row r="5931" spans="2:7" ht="22.5" outlineLevel="5" x14ac:dyDescent="0.2">
      <c r="B5931" s="14" t="s">
        <v>11171</v>
      </c>
      <c r="C5931" s="14" t="s">
        <v>11172</v>
      </c>
      <c r="D5931" s="14">
        <v>1</v>
      </c>
      <c r="E5931" s="15">
        <v>377.58</v>
      </c>
      <c r="F5931" s="16" t="s">
        <v>8</v>
      </c>
      <c r="G5931" s="14"/>
    </row>
    <row r="5932" spans="2:7" ht="22.5" outlineLevel="5" x14ac:dyDescent="0.2">
      <c r="B5932" s="14" t="s">
        <v>11173</v>
      </c>
      <c r="C5932" s="14" t="s">
        <v>11174</v>
      </c>
      <c r="D5932" s="14">
        <v>1</v>
      </c>
      <c r="E5932" s="15">
        <v>866.53</v>
      </c>
      <c r="F5932" s="16" t="s">
        <v>8</v>
      </c>
      <c r="G5932" s="38" t="str">
        <f>HYPERLINK("http://enext.ua/l001082")</f>
        <v>http://enext.ua/l001082</v>
      </c>
    </row>
    <row r="5933" spans="2:7" ht="11.25" outlineLevel="5" x14ac:dyDescent="0.2">
      <c r="B5933" s="14" t="s">
        <v>11175</v>
      </c>
      <c r="C5933" s="14" t="s">
        <v>11176</v>
      </c>
      <c r="D5933" s="14">
        <v>1</v>
      </c>
      <c r="E5933" s="15">
        <v>10.45</v>
      </c>
      <c r="F5933" s="16" t="s">
        <v>8</v>
      </c>
      <c r="G5933" s="38" t="str">
        <f>HYPERLINK("http://enext.ua/l001074")</f>
        <v>http://enext.ua/l001074</v>
      </c>
    </row>
    <row r="5934" spans="2:7" ht="12" outlineLevel="3" x14ac:dyDescent="0.2">
      <c r="B5934" s="10"/>
      <c r="C5934" s="36" t="s">
        <v>11177</v>
      </c>
      <c r="D5934" s="10"/>
      <c r="E5934" s="11"/>
      <c r="F5934" s="11"/>
      <c r="G5934" s="10"/>
    </row>
    <row r="5935" spans="2:7" ht="12" outlineLevel="4" x14ac:dyDescent="0.2">
      <c r="B5935" s="12"/>
      <c r="C5935" s="37" t="s">
        <v>11178</v>
      </c>
      <c r="D5935" s="12"/>
      <c r="E5935" s="13"/>
      <c r="F5935" s="13"/>
      <c r="G5935" s="12"/>
    </row>
    <row r="5936" spans="2:7" ht="22.5" outlineLevel="5" x14ac:dyDescent="0.2">
      <c r="B5936" s="14" t="s">
        <v>11179</v>
      </c>
      <c r="C5936" s="14" t="s">
        <v>11180</v>
      </c>
      <c r="D5936" s="14">
        <v>1</v>
      </c>
      <c r="E5936" s="15">
        <v>958.93</v>
      </c>
      <c r="F5936" s="16" t="s">
        <v>8</v>
      </c>
      <c r="G5936" s="38" t="str">
        <f>HYPERLINK("http://enext.ua/l001062")</f>
        <v>http://enext.ua/l001062</v>
      </c>
    </row>
    <row r="5937" spans="2:7" ht="22.5" outlineLevel="5" x14ac:dyDescent="0.2">
      <c r="B5937" s="14" t="s">
        <v>11181</v>
      </c>
      <c r="C5937" s="14" t="s">
        <v>11182</v>
      </c>
      <c r="D5937" s="14">
        <v>1</v>
      </c>
      <c r="E5937" s="15">
        <v>589.23</v>
      </c>
      <c r="F5937" s="16" t="s">
        <v>8</v>
      </c>
      <c r="G5937" s="38" t="str">
        <f>HYPERLINK("http://enext.ua/l001308")</f>
        <v>http://enext.ua/l001308</v>
      </c>
    </row>
    <row r="5938" spans="2:7" ht="22.5" outlineLevel="5" x14ac:dyDescent="0.2">
      <c r="B5938" s="14" t="s">
        <v>11183</v>
      </c>
      <c r="C5938" s="14" t="s">
        <v>11184</v>
      </c>
      <c r="D5938" s="14">
        <v>1</v>
      </c>
      <c r="E5938" s="15">
        <v>630.72</v>
      </c>
      <c r="F5938" s="16" t="s">
        <v>8</v>
      </c>
      <c r="G5938" s="38" t="str">
        <f>HYPERLINK("http://enext.ua/l001309")</f>
        <v>http://enext.ua/l001309</v>
      </c>
    </row>
    <row r="5939" spans="2:7" ht="11.25" outlineLevel="5" x14ac:dyDescent="0.2">
      <c r="B5939" s="14" t="s">
        <v>11185</v>
      </c>
      <c r="C5939" s="14" t="s">
        <v>11186</v>
      </c>
      <c r="D5939" s="14">
        <v>1</v>
      </c>
      <c r="E5939" s="15">
        <v>517.86</v>
      </c>
      <c r="F5939" s="16" t="s">
        <v>8</v>
      </c>
      <c r="G5939" s="38" t="str">
        <f>HYPERLINK("http://enext.ua/l001310")</f>
        <v>http://enext.ua/l001310</v>
      </c>
    </row>
    <row r="5940" spans="2:7" ht="22.5" outlineLevel="5" x14ac:dyDescent="0.2">
      <c r="B5940" s="14" t="s">
        <v>11187</v>
      </c>
      <c r="C5940" s="14" t="s">
        <v>11188</v>
      </c>
      <c r="D5940" s="14">
        <v>1</v>
      </c>
      <c r="E5940" s="15">
        <v>994.95</v>
      </c>
      <c r="F5940" s="16" t="s">
        <v>8</v>
      </c>
      <c r="G5940" s="38" t="str">
        <f>HYPERLINK("http://enext.ua/l001201")</f>
        <v>http://enext.ua/l001201</v>
      </c>
    </row>
    <row r="5941" spans="2:7" ht="22.5" outlineLevel="5" x14ac:dyDescent="0.2">
      <c r="B5941" s="14" t="s">
        <v>11189</v>
      </c>
      <c r="C5941" s="14" t="s">
        <v>11190</v>
      </c>
      <c r="D5941" s="14">
        <v>1</v>
      </c>
      <c r="E5941" s="15">
        <v>527.27</v>
      </c>
      <c r="F5941" s="16" t="s">
        <v>8</v>
      </c>
      <c r="G5941" s="38" t="str">
        <f>HYPERLINK("http://enext.ua/l001202")</f>
        <v>http://enext.ua/l001202</v>
      </c>
    </row>
    <row r="5942" spans="2:7" ht="22.5" outlineLevel="5" x14ac:dyDescent="0.2">
      <c r="B5942" s="14" t="s">
        <v>11191</v>
      </c>
      <c r="C5942" s="14" t="s">
        <v>11192</v>
      </c>
      <c r="D5942" s="14">
        <v>1</v>
      </c>
      <c r="E5942" s="15">
        <v>377.49</v>
      </c>
      <c r="F5942" s="16" t="s">
        <v>8</v>
      </c>
      <c r="G5942" s="38" t="str">
        <f>HYPERLINK("http://enext.ua/l001030")</f>
        <v>http://enext.ua/l001030</v>
      </c>
    </row>
    <row r="5943" spans="2:7" ht="22.5" outlineLevel="5" x14ac:dyDescent="0.2">
      <c r="B5943" s="14" t="s">
        <v>11193</v>
      </c>
      <c r="C5943" s="14" t="s">
        <v>11194</v>
      </c>
      <c r="D5943" s="14">
        <v>1</v>
      </c>
      <c r="E5943" s="15">
        <v>345.42</v>
      </c>
      <c r="F5943" s="16" t="s">
        <v>8</v>
      </c>
      <c r="G5943" s="38" t="str">
        <f>HYPERLINK("http://enext.ua/l001042")</f>
        <v>http://enext.ua/l001042</v>
      </c>
    </row>
    <row r="5944" spans="2:7" ht="22.5" outlineLevel="5" x14ac:dyDescent="0.2">
      <c r="B5944" s="14" t="s">
        <v>11195</v>
      </c>
      <c r="C5944" s="14" t="s">
        <v>11196</v>
      </c>
      <c r="D5944" s="14">
        <v>1</v>
      </c>
      <c r="E5944" s="15">
        <v>930.88</v>
      </c>
      <c r="F5944" s="16" t="s">
        <v>8</v>
      </c>
      <c r="G5944" s="38" t="str">
        <f>HYPERLINK("http://enext.ua/l001061")</f>
        <v>http://enext.ua/l001061</v>
      </c>
    </row>
    <row r="5945" spans="2:7" ht="22.5" outlineLevel="5" x14ac:dyDescent="0.2">
      <c r="B5945" s="14" t="s">
        <v>11197</v>
      </c>
      <c r="C5945" s="14" t="s">
        <v>11198</v>
      </c>
      <c r="D5945" s="14">
        <v>1</v>
      </c>
      <c r="E5945" s="15">
        <v>790.11</v>
      </c>
      <c r="F5945" s="16" t="s">
        <v>8</v>
      </c>
      <c r="G5945" s="38" t="str">
        <f>HYPERLINK("http://enext.ua/l001204")</f>
        <v>http://enext.ua/l001204</v>
      </c>
    </row>
    <row r="5946" spans="2:7" ht="22.5" outlineLevel="5" x14ac:dyDescent="0.2">
      <c r="B5946" s="14" t="s">
        <v>11199</v>
      </c>
      <c r="C5946" s="14" t="s">
        <v>11200</v>
      </c>
      <c r="D5946" s="14">
        <v>1</v>
      </c>
      <c r="E5946" s="15">
        <v>931.43</v>
      </c>
      <c r="F5946" s="16" t="s">
        <v>8</v>
      </c>
      <c r="G5946" s="38" t="str">
        <f>HYPERLINK("http://enext.ua/l001206")</f>
        <v>http://enext.ua/l001206</v>
      </c>
    </row>
    <row r="5947" spans="2:7" ht="22.5" outlineLevel="5" x14ac:dyDescent="0.2">
      <c r="B5947" s="14" t="s">
        <v>11201</v>
      </c>
      <c r="C5947" s="14" t="s">
        <v>11202</v>
      </c>
      <c r="D5947" s="14">
        <v>1</v>
      </c>
      <c r="E5947" s="15">
        <v>891</v>
      </c>
      <c r="F5947" s="16" t="s">
        <v>8</v>
      </c>
      <c r="G5947" s="38" t="str">
        <f>HYPERLINK("http://enext.ua/l001064")</f>
        <v>http://enext.ua/l001064</v>
      </c>
    </row>
    <row r="5948" spans="2:7" ht="22.5" outlineLevel="5" x14ac:dyDescent="0.2">
      <c r="B5948" s="14" t="s">
        <v>11203</v>
      </c>
      <c r="C5948" s="14" t="s">
        <v>11204</v>
      </c>
      <c r="D5948" s="14">
        <v>1</v>
      </c>
      <c r="E5948" s="15">
        <v>509.09</v>
      </c>
      <c r="F5948" s="16" t="s">
        <v>8</v>
      </c>
      <c r="G5948" s="38" t="str">
        <f>HYPERLINK("http://enext.ua/l001200")</f>
        <v>http://enext.ua/l001200</v>
      </c>
    </row>
    <row r="5949" spans="2:7" ht="22.5" outlineLevel="5" x14ac:dyDescent="0.2">
      <c r="B5949" s="14" t="s">
        <v>11205</v>
      </c>
      <c r="C5949" s="14" t="s">
        <v>11206</v>
      </c>
      <c r="D5949" s="14">
        <v>1</v>
      </c>
      <c r="E5949" s="15">
        <v>527.27</v>
      </c>
      <c r="F5949" s="16" t="s">
        <v>8</v>
      </c>
      <c r="G5949" s="38" t="str">
        <f>HYPERLINK("http://enext.ua/l001205")</f>
        <v>http://enext.ua/l001205</v>
      </c>
    </row>
    <row r="5950" spans="2:7" ht="12" outlineLevel="4" x14ac:dyDescent="0.2">
      <c r="B5950" s="12"/>
      <c r="C5950" s="37" t="s">
        <v>11207</v>
      </c>
      <c r="D5950" s="12"/>
      <c r="E5950" s="13"/>
      <c r="F5950" s="13"/>
      <c r="G5950" s="12"/>
    </row>
    <row r="5951" spans="2:7" ht="22.5" outlineLevel="5" x14ac:dyDescent="0.2">
      <c r="B5951" s="14" t="s">
        <v>11208</v>
      </c>
      <c r="C5951" s="14" t="s">
        <v>11209</v>
      </c>
      <c r="D5951" s="14">
        <v>1</v>
      </c>
      <c r="E5951" s="15">
        <v>280.39999999999998</v>
      </c>
      <c r="F5951" s="16" t="s">
        <v>8</v>
      </c>
      <c r="G5951" s="14"/>
    </row>
    <row r="5952" spans="2:7" ht="22.5" outlineLevel="5" x14ac:dyDescent="0.2">
      <c r="B5952" s="14" t="s">
        <v>11210</v>
      </c>
      <c r="C5952" s="14" t="s">
        <v>11211</v>
      </c>
      <c r="D5952" s="14">
        <v>1</v>
      </c>
      <c r="E5952" s="15">
        <v>280.39999999999998</v>
      </c>
      <c r="F5952" s="16" t="s">
        <v>8</v>
      </c>
      <c r="G5952" s="14"/>
    </row>
    <row r="5953" spans="2:7" ht="11.25" outlineLevel="5" x14ac:dyDescent="0.2">
      <c r="B5953" s="14" t="s">
        <v>11212</v>
      </c>
      <c r="C5953" s="14" t="s">
        <v>11213</v>
      </c>
      <c r="D5953" s="14">
        <v>1</v>
      </c>
      <c r="E5953" s="15">
        <v>211.68</v>
      </c>
      <c r="F5953" s="16" t="s">
        <v>8</v>
      </c>
      <c r="G5953" s="14"/>
    </row>
    <row r="5954" spans="2:7" ht="11.25" outlineLevel="5" x14ac:dyDescent="0.2">
      <c r="B5954" s="14" t="s">
        <v>11214</v>
      </c>
      <c r="C5954" s="14" t="s">
        <v>11215</v>
      </c>
      <c r="D5954" s="14">
        <v>1</v>
      </c>
      <c r="E5954" s="15">
        <v>211.68</v>
      </c>
      <c r="F5954" s="16" t="s">
        <v>8</v>
      </c>
      <c r="G5954" s="14"/>
    </row>
    <row r="5955" spans="2:7" ht="12" outlineLevel="3" x14ac:dyDescent="0.2">
      <c r="B5955" s="10"/>
      <c r="C5955" s="36" t="s">
        <v>11216</v>
      </c>
      <c r="D5955" s="10"/>
      <c r="E5955" s="11"/>
      <c r="F5955" s="11"/>
      <c r="G5955" s="10"/>
    </row>
    <row r="5956" spans="2:7" ht="12" outlineLevel="4" x14ac:dyDescent="0.2">
      <c r="B5956" s="12"/>
      <c r="C5956" s="37" t="s">
        <v>11217</v>
      </c>
      <c r="D5956" s="12"/>
      <c r="E5956" s="13"/>
      <c r="F5956" s="13"/>
      <c r="G5956" s="12"/>
    </row>
    <row r="5957" spans="2:7" ht="11.25" outlineLevel="5" x14ac:dyDescent="0.2">
      <c r="B5957" s="14" t="s">
        <v>11218</v>
      </c>
      <c r="C5957" s="14" t="s">
        <v>11219</v>
      </c>
      <c r="D5957" s="14">
        <v>1</v>
      </c>
      <c r="E5957" s="17">
        <v>1254.96</v>
      </c>
      <c r="F5957" s="16" t="s">
        <v>8</v>
      </c>
      <c r="G5957" s="14"/>
    </row>
    <row r="5958" spans="2:7" ht="22.5" outlineLevel="5" x14ac:dyDescent="0.2">
      <c r="B5958" s="14" t="s">
        <v>11220</v>
      </c>
      <c r="C5958" s="14" t="s">
        <v>11221</v>
      </c>
      <c r="D5958" s="14">
        <v>1</v>
      </c>
      <c r="E5958" s="17">
        <v>1710.02</v>
      </c>
      <c r="F5958" s="16" t="s">
        <v>8</v>
      </c>
      <c r="G5958" s="38" t="str">
        <f>HYPERLINK("http://enext.ua/l0520005")</f>
        <v>http://enext.ua/l0520005</v>
      </c>
    </row>
    <row r="5959" spans="2:7" ht="22.5" outlineLevel="5" x14ac:dyDescent="0.2">
      <c r="B5959" s="14" t="s">
        <v>11222</v>
      </c>
      <c r="C5959" s="14" t="s">
        <v>11223</v>
      </c>
      <c r="D5959" s="14">
        <v>1</v>
      </c>
      <c r="E5959" s="17">
        <v>1975.67</v>
      </c>
      <c r="F5959" s="16" t="s">
        <v>8</v>
      </c>
      <c r="G5959" s="38" t="str">
        <f>HYPERLINK("http://enext.ua/l0520006")</f>
        <v>http://enext.ua/l0520006</v>
      </c>
    </row>
    <row r="5960" spans="2:7" ht="22.5" outlineLevel="5" x14ac:dyDescent="0.2">
      <c r="B5960" s="14" t="s">
        <v>11224</v>
      </c>
      <c r="C5960" s="14" t="s">
        <v>11225</v>
      </c>
      <c r="D5960" s="14">
        <v>1</v>
      </c>
      <c r="E5960" s="17">
        <v>2226.38</v>
      </c>
      <c r="F5960" s="16" t="s">
        <v>8</v>
      </c>
      <c r="G5960" s="38" t="str">
        <f>HYPERLINK("http://enext.ua/l0520002")</f>
        <v>http://enext.ua/l0520002</v>
      </c>
    </row>
    <row r="5961" spans="2:7" ht="22.5" outlineLevel="5" x14ac:dyDescent="0.2">
      <c r="B5961" s="14" t="s">
        <v>11226</v>
      </c>
      <c r="C5961" s="14" t="s">
        <v>11227</v>
      </c>
      <c r="D5961" s="14">
        <v>1</v>
      </c>
      <c r="E5961" s="17">
        <v>1654.42</v>
      </c>
      <c r="F5961" s="16" t="s">
        <v>8</v>
      </c>
      <c r="G5961" s="38" t="str">
        <f>HYPERLINK("http://enext.ua/l0520003")</f>
        <v>http://enext.ua/l0520003</v>
      </c>
    </row>
    <row r="5962" spans="2:7" ht="22.5" outlineLevel="5" x14ac:dyDescent="0.2">
      <c r="B5962" s="14" t="s">
        <v>11228</v>
      </c>
      <c r="C5962" s="14" t="s">
        <v>11229</v>
      </c>
      <c r="D5962" s="14">
        <v>1</v>
      </c>
      <c r="E5962" s="17">
        <v>1598.6</v>
      </c>
      <c r="F5962" s="16" t="s">
        <v>8</v>
      </c>
      <c r="G5962" s="38" t="str">
        <f>HYPERLINK("http://enext.ua/l0530003")</f>
        <v>http://enext.ua/l0530003</v>
      </c>
    </row>
    <row r="5963" spans="2:7" ht="22.5" outlineLevel="5" x14ac:dyDescent="0.2">
      <c r="B5963" s="14" t="s">
        <v>11230</v>
      </c>
      <c r="C5963" s="14" t="s">
        <v>11231</v>
      </c>
      <c r="D5963" s="14">
        <v>1</v>
      </c>
      <c r="E5963" s="17">
        <v>2930.13</v>
      </c>
      <c r="F5963" s="16" t="s">
        <v>8</v>
      </c>
      <c r="G5963" s="38" t="str">
        <f>HYPERLINK("http://enext.ua/l0520004")</f>
        <v>http://enext.ua/l0520004</v>
      </c>
    </row>
    <row r="5964" spans="2:7" ht="22.5" outlineLevel="5" x14ac:dyDescent="0.2">
      <c r="B5964" s="14" t="s">
        <v>11232</v>
      </c>
      <c r="C5964" s="14" t="s">
        <v>11233</v>
      </c>
      <c r="D5964" s="14">
        <v>1</v>
      </c>
      <c r="E5964" s="17">
        <v>1782.09</v>
      </c>
      <c r="F5964" s="16" t="s">
        <v>8</v>
      </c>
      <c r="G5964" s="38" t="str">
        <f>HYPERLINK("http://enext.ua/l0530004")</f>
        <v>http://enext.ua/l0530004</v>
      </c>
    </row>
    <row r="5965" spans="2:7" ht="22.5" outlineLevel="5" x14ac:dyDescent="0.2">
      <c r="B5965" s="14" t="s">
        <v>11234</v>
      </c>
      <c r="C5965" s="14" t="s">
        <v>11235</v>
      </c>
      <c r="D5965" s="14">
        <v>1</v>
      </c>
      <c r="E5965" s="17">
        <v>1779.64</v>
      </c>
      <c r="F5965" s="16" t="s">
        <v>8</v>
      </c>
      <c r="G5965" s="38" t="str">
        <f>HYPERLINK("http://enext.ua/l0540004")</f>
        <v>http://enext.ua/l0540004</v>
      </c>
    </row>
    <row r="5966" spans="2:7" ht="22.5" outlineLevel="5" x14ac:dyDescent="0.2">
      <c r="B5966" s="14" t="s">
        <v>11236</v>
      </c>
      <c r="C5966" s="14" t="s">
        <v>11237</v>
      </c>
      <c r="D5966" s="14">
        <v>1</v>
      </c>
      <c r="E5966" s="15">
        <v>801.38</v>
      </c>
      <c r="F5966" s="16" t="s">
        <v>8</v>
      </c>
      <c r="G5966" s="38" t="str">
        <f>HYPERLINK("http://enext.ua/l0510004")</f>
        <v>http://enext.ua/l0510004</v>
      </c>
    </row>
    <row r="5967" spans="2:7" ht="22.5" outlineLevel="5" x14ac:dyDescent="0.2">
      <c r="B5967" s="14" t="s">
        <v>11238</v>
      </c>
      <c r="C5967" s="14" t="s">
        <v>11239</v>
      </c>
      <c r="D5967" s="14">
        <v>1</v>
      </c>
      <c r="E5967" s="15">
        <v>806.33</v>
      </c>
      <c r="F5967" s="16" t="s">
        <v>8</v>
      </c>
      <c r="G5967" s="38" t="str">
        <f>HYPERLINK("http://enext.ua/l0510005")</f>
        <v>http://enext.ua/l0510005</v>
      </c>
    </row>
    <row r="5968" spans="2:7" ht="12" outlineLevel="4" x14ac:dyDescent="0.2">
      <c r="B5968" s="12"/>
      <c r="C5968" s="37" t="s">
        <v>11240</v>
      </c>
      <c r="D5968" s="12"/>
      <c r="E5968" s="13"/>
      <c r="F5968" s="13"/>
      <c r="G5968" s="12"/>
    </row>
    <row r="5969" spans="2:7" ht="22.5" outlineLevel="5" x14ac:dyDescent="0.2">
      <c r="B5969" s="14" t="s">
        <v>11241</v>
      </c>
      <c r="C5969" s="14" t="s">
        <v>11242</v>
      </c>
      <c r="D5969" s="14">
        <v>1</v>
      </c>
      <c r="E5969" s="15">
        <v>724.95</v>
      </c>
      <c r="F5969" s="16" t="s">
        <v>8</v>
      </c>
      <c r="G5969" s="38" t="str">
        <f>HYPERLINK("http://enext.ua/l0580001")</f>
        <v>http://enext.ua/l0580001</v>
      </c>
    </row>
    <row r="5970" spans="2:7" ht="22.5" outlineLevel="5" x14ac:dyDescent="0.2">
      <c r="B5970" s="14" t="s">
        <v>11243</v>
      </c>
      <c r="C5970" s="14" t="s">
        <v>11244</v>
      </c>
      <c r="D5970" s="14">
        <v>1</v>
      </c>
      <c r="E5970" s="15">
        <v>360.4</v>
      </c>
      <c r="F5970" s="16" t="s">
        <v>8</v>
      </c>
      <c r="G5970" s="38" t="str">
        <f>HYPERLINK("http://enext.ua/l0580003")</f>
        <v>http://enext.ua/l0580003</v>
      </c>
    </row>
    <row r="5971" spans="2:7" ht="11.25" outlineLevel="5" x14ac:dyDescent="0.2">
      <c r="B5971" s="14" t="s">
        <v>11245</v>
      </c>
      <c r="C5971" s="14" t="s">
        <v>11246</v>
      </c>
      <c r="D5971" s="14">
        <v>1</v>
      </c>
      <c r="E5971" s="15">
        <v>300.74</v>
      </c>
      <c r="F5971" s="16" t="s">
        <v>8</v>
      </c>
      <c r="G5971" s="38" t="str">
        <f>HYPERLINK("http://enext.ua/l0590003")</f>
        <v>http://enext.ua/l0590003</v>
      </c>
    </row>
    <row r="5972" spans="2:7" ht="22.5" outlineLevel="5" x14ac:dyDescent="0.2">
      <c r="B5972" s="14" t="s">
        <v>11247</v>
      </c>
      <c r="C5972" s="14" t="s">
        <v>11248</v>
      </c>
      <c r="D5972" s="14">
        <v>1</v>
      </c>
      <c r="E5972" s="15">
        <v>134.71</v>
      </c>
      <c r="F5972" s="16" t="s">
        <v>8</v>
      </c>
      <c r="G5972" s="38" t="str">
        <f>HYPERLINK("http://enext.ua/l0580004")</f>
        <v>http://enext.ua/l0580004</v>
      </c>
    </row>
    <row r="5973" spans="2:7" ht="12" outlineLevel="4" x14ac:dyDescent="0.2">
      <c r="B5973" s="12"/>
      <c r="C5973" s="37" t="s">
        <v>11249</v>
      </c>
      <c r="D5973" s="12"/>
      <c r="E5973" s="13"/>
      <c r="F5973" s="13"/>
      <c r="G5973" s="12"/>
    </row>
    <row r="5974" spans="2:7" ht="22.5" outlineLevel="5" x14ac:dyDescent="0.2">
      <c r="B5974" s="14" t="s">
        <v>11250</v>
      </c>
      <c r="C5974" s="14" t="s">
        <v>11251</v>
      </c>
      <c r="D5974" s="14">
        <v>1</v>
      </c>
      <c r="E5974" s="15">
        <v>163.88</v>
      </c>
      <c r="F5974" s="16" t="s">
        <v>8</v>
      </c>
      <c r="G5974" s="38" t="str">
        <f>HYPERLINK("http://enext.ua/l0570001")</f>
        <v>http://enext.ua/l0570001</v>
      </c>
    </row>
    <row r="5975" spans="2:7" ht="22.5" outlineLevel="5" x14ac:dyDescent="0.2">
      <c r="B5975" s="14" t="s">
        <v>11252</v>
      </c>
      <c r="C5975" s="14" t="s">
        <v>11253</v>
      </c>
      <c r="D5975" s="14">
        <v>1</v>
      </c>
      <c r="E5975" s="15">
        <v>613.97</v>
      </c>
      <c r="F5975" s="16" t="s">
        <v>8</v>
      </c>
      <c r="G5975" s="38" t="str">
        <f>HYPERLINK("http://enext.ua/l0550001")</f>
        <v>http://enext.ua/l0550001</v>
      </c>
    </row>
    <row r="5976" spans="2:7" ht="22.5" outlineLevel="5" x14ac:dyDescent="0.2">
      <c r="B5976" s="14" t="s">
        <v>11254</v>
      </c>
      <c r="C5976" s="14" t="s">
        <v>11255</v>
      </c>
      <c r="D5976" s="14">
        <v>1</v>
      </c>
      <c r="E5976" s="17">
        <v>1150.6400000000001</v>
      </c>
      <c r="F5976" s="16" t="s">
        <v>8</v>
      </c>
      <c r="G5976" s="38" t="str">
        <f>HYPERLINK("http://enext.ua/l0550002")</f>
        <v>http://enext.ua/l0550002</v>
      </c>
    </row>
    <row r="5977" spans="2:7" ht="22.5" outlineLevel="5" x14ac:dyDescent="0.2">
      <c r="B5977" s="14" t="s">
        <v>11256</v>
      </c>
      <c r="C5977" s="14" t="s">
        <v>11257</v>
      </c>
      <c r="D5977" s="14">
        <v>1</v>
      </c>
      <c r="E5977" s="15">
        <v>203.18</v>
      </c>
      <c r="F5977" s="16" t="s">
        <v>8</v>
      </c>
      <c r="G5977" s="38" t="str">
        <f>HYPERLINK("http://enext.ua/l0560001")</f>
        <v>http://enext.ua/l0560001</v>
      </c>
    </row>
    <row r="5978" spans="2:7" ht="22.5" outlineLevel="5" x14ac:dyDescent="0.2">
      <c r="B5978" s="14" t="s">
        <v>11258</v>
      </c>
      <c r="C5978" s="14" t="s">
        <v>11259</v>
      </c>
      <c r="D5978" s="14">
        <v>1</v>
      </c>
      <c r="E5978" s="15">
        <v>418.42</v>
      </c>
      <c r="F5978" s="16" t="s">
        <v>8</v>
      </c>
      <c r="G5978" s="38" t="str">
        <f>HYPERLINK("http://enext.ua/l0560002")</f>
        <v>http://enext.ua/l0560002</v>
      </c>
    </row>
    <row r="5979" spans="2:7" ht="11.25" outlineLevel="5" x14ac:dyDescent="0.2">
      <c r="B5979" s="14" t="s">
        <v>11260</v>
      </c>
      <c r="C5979" s="14" t="s">
        <v>11261</v>
      </c>
      <c r="D5979" s="14">
        <v>1</v>
      </c>
      <c r="E5979" s="15">
        <v>118.47</v>
      </c>
      <c r="F5979" s="16" t="s">
        <v>8</v>
      </c>
      <c r="G5979" s="38" t="str">
        <f>HYPERLINK("http://enext.ua/l0560003")</f>
        <v>http://enext.ua/l0560003</v>
      </c>
    </row>
    <row r="5980" spans="2:7" ht="22.5" outlineLevel="5" x14ac:dyDescent="0.2">
      <c r="B5980" s="14" t="s">
        <v>11262</v>
      </c>
      <c r="C5980" s="14" t="s">
        <v>11263</v>
      </c>
      <c r="D5980" s="14">
        <v>1</v>
      </c>
      <c r="E5980" s="15">
        <v>124.08</v>
      </c>
      <c r="F5980" s="16" t="s">
        <v>8</v>
      </c>
      <c r="G5980" s="38" t="str">
        <f>HYPERLINK("http://enext.ua/l0560004")</f>
        <v>http://enext.ua/l0560004</v>
      </c>
    </row>
    <row r="5981" spans="2:7" ht="12" outlineLevel="4" x14ac:dyDescent="0.2">
      <c r="B5981" s="12"/>
      <c r="C5981" s="37" t="s">
        <v>11264</v>
      </c>
      <c r="D5981" s="12"/>
      <c r="E5981" s="13"/>
      <c r="F5981" s="13"/>
      <c r="G5981" s="12"/>
    </row>
    <row r="5982" spans="2:7" ht="22.5" outlineLevel="5" x14ac:dyDescent="0.2">
      <c r="B5982" s="14" t="s">
        <v>11265</v>
      </c>
      <c r="C5982" s="14" t="s">
        <v>11266</v>
      </c>
      <c r="D5982" s="14">
        <v>1</v>
      </c>
      <c r="E5982" s="17">
        <v>1129.44</v>
      </c>
      <c r="F5982" s="16" t="s">
        <v>8</v>
      </c>
      <c r="G5982" s="38" t="str">
        <f>HYPERLINK("http://enext.ua/l0510001")</f>
        <v>http://enext.ua/l0510001</v>
      </c>
    </row>
    <row r="5983" spans="2:7" ht="22.5" outlineLevel="5" x14ac:dyDescent="0.2">
      <c r="B5983" s="14" t="s">
        <v>11267</v>
      </c>
      <c r="C5983" s="14" t="s">
        <v>11268</v>
      </c>
      <c r="D5983" s="14">
        <v>1</v>
      </c>
      <c r="E5983" s="15">
        <v>534.85</v>
      </c>
      <c r="F5983" s="16" t="s">
        <v>8</v>
      </c>
      <c r="G5983" s="38" t="str">
        <f>HYPERLINK("http://enext.ua/l0510003")</f>
        <v>http://enext.ua/l0510003</v>
      </c>
    </row>
    <row r="5984" spans="2:7" ht="12" outlineLevel="3" x14ac:dyDescent="0.2">
      <c r="B5984" s="10"/>
      <c r="C5984" s="36" t="s">
        <v>11269</v>
      </c>
      <c r="D5984" s="10"/>
      <c r="E5984" s="11"/>
      <c r="F5984" s="11"/>
      <c r="G5984" s="10"/>
    </row>
    <row r="5985" spans="2:7" ht="11.25" outlineLevel="4" x14ac:dyDescent="0.2">
      <c r="B5985" s="14" t="s">
        <v>11270</v>
      </c>
      <c r="C5985" s="14" t="s">
        <v>11271</v>
      </c>
      <c r="D5985" s="14">
        <v>1</v>
      </c>
      <c r="E5985" s="15">
        <v>149.07</v>
      </c>
      <c r="F5985" s="16" t="s">
        <v>8</v>
      </c>
      <c r="G5985" s="38" t="str">
        <f>HYPERLINK("http://enext.ua/l002001")</f>
        <v>http://enext.ua/l002001</v>
      </c>
    </row>
    <row r="5986" spans="2:7" ht="11.25" outlineLevel="4" x14ac:dyDescent="0.2">
      <c r="B5986" s="14" t="s">
        <v>11272</v>
      </c>
      <c r="C5986" s="14" t="s">
        <v>11273</v>
      </c>
      <c r="D5986" s="14">
        <v>1</v>
      </c>
      <c r="E5986" s="15">
        <v>149.07</v>
      </c>
      <c r="F5986" s="16" t="s">
        <v>8</v>
      </c>
      <c r="G5986" s="38" t="str">
        <f>HYPERLINK("http://enext.ua/l002002")</f>
        <v>http://enext.ua/l002002</v>
      </c>
    </row>
    <row r="5987" spans="2:7" ht="11.25" outlineLevel="4" x14ac:dyDescent="0.2">
      <c r="B5987" s="14" t="s">
        <v>11274</v>
      </c>
      <c r="C5987" s="14" t="s">
        <v>11275</v>
      </c>
      <c r="D5987" s="14">
        <v>1</v>
      </c>
      <c r="E5987" s="15">
        <v>276.33</v>
      </c>
      <c r="F5987" s="16" t="s">
        <v>8</v>
      </c>
      <c r="G5987" s="38" t="str">
        <f>HYPERLINK("http://enext.ua/l002020")</f>
        <v>http://enext.ua/l002020</v>
      </c>
    </row>
    <row r="5988" spans="2:7" ht="11.25" outlineLevel="4" x14ac:dyDescent="0.2">
      <c r="B5988" s="14" t="s">
        <v>11276</v>
      </c>
      <c r="C5988" s="14" t="s">
        <v>11277</v>
      </c>
      <c r="D5988" s="14">
        <v>1</v>
      </c>
      <c r="E5988" s="15">
        <v>276.33</v>
      </c>
      <c r="F5988" s="16" t="s">
        <v>8</v>
      </c>
      <c r="G5988" s="38" t="str">
        <f>HYPERLINK("http://enext.ua/l002019")</f>
        <v>http://enext.ua/l002019</v>
      </c>
    </row>
    <row r="5989" spans="2:7" ht="11.25" outlineLevel="4" x14ac:dyDescent="0.2">
      <c r="B5989" s="14" t="s">
        <v>11278</v>
      </c>
      <c r="C5989" s="14" t="s">
        <v>11279</v>
      </c>
      <c r="D5989" s="14">
        <v>1</v>
      </c>
      <c r="E5989" s="15">
        <v>125.45</v>
      </c>
      <c r="F5989" s="16" t="s">
        <v>8</v>
      </c>
      <c r="G5989" s="38" t="str">
        <f>HYPERLINK("http://enext.ua/l002003")</f>
        <v>http://enext.ua/l002003</v>
      </c>
    </row>
    <row r="5990" spans="2:7" ht="11.25" outlineLevel="4" x14ac:dyDescent="0.2">
      <c r="B5990" s="14" t="s">
        <v>11280</v>
      </c>
      <c r="C5990" s="14" t="s">
        <v>11281</v>
      </c>
      <c r="D5990" s="14">
        <v>1</v>
      </c>
      <c r="E5990" s="15">
        <v>125.45</v>
      </c>
      <c r="F5990" s="16" t="s">
        <v>8</v>
      </c>
      <c r="G5990" s="38" t="str">
        <f>HYPERLINK("http://enext.ua/l002004")</f>
        <v>http://enext.ua/l002004</v>
      </c>
    </row>
    <row r="5991" spans="2:7" ht="11.25" outlineLevel="4" x14ac:dyDescent="0.2">
      <c r="B5991" s="14" t="s">
        <v>11282</v>
      </c>
      <c r="C5991" s="14" t="s">
        <v>11283</v>
      </c>
      <c r="D5991" s="14">
        <v>1</v>
      </c>
      <c r="E5991" s="15">
        <v>159.53</v>
      </c>
      <c r="F5991" s="16" t="s">
        <v>8</v>
      </c>
      <c r="G5991" s="38" t="str">
        <f>HYPERLINK("http://enext.ua/l002005")</f>
        <v>http://enext.ua/l002005</v>
      </c>
    </row>
    <row r="5992" spans="2:7" ht="11.25" outlineLevel="4" x14ac:dyDescent="0.2">
      <c r="B5992" s="14" t="s">
        <v>11284</v>
      </c>
      <c r="C5992" s="14" t="s">
        <v>11285</v>
      </c>
      <c r="D5992" s="14">
        <v>1</v>
      </c>
      <c r="E5992" s="15">
        <v>171.15</v>
      </c>
      <c r="F5992" s="16" t="s">
        <v>8</v>
      </c>
      <c r="G5992" s="38" t="str">
        <f>HYPERLINK("http://enext.ua/l002006")</f>
        <v>http://enext.ua/l002006</v>
      </c>
    </row>
    <row r="5993" spans="2:7" ht="11.25" outlineLevel="4" x14ac:dyDescent="0.2">
      <c r="B5993" s="14" t="s">
        <v>11286</v>
      </c>
      <c r="C5993" s="14" t="s">
        <v>11287</v>
      </c>
      <c r="D5993" s="14">
        <v>1</v>
      </c>
      <c r="E5993" s="15">
        <v>246.11</v>
      </c>
      <c r="F5993" s="16" t="s">
        <v>8</v>
      </c>
      <c r="G5993" s="38" t="str">
        <f>HYPERLINK("http://enext.ua/l002024")</f>
        <v>http://enext.ua/l002024</v>
      </c>
    </row>
    <row r="5994" spans="2:7" ht="11.25" outlineLevel="4" x14ac:dyDescent="0.2">
      <c r="B5994" s="14" t="s">
        <v>11288</v>
      </c>
      <c r="C5994" s="14" t="s">
        <v>11289</v>
      </c>
      <c r="D5994" s="14">
        <v>1</v>
      </c>
      <c r="E5994" s="15">
        <v>262.67</v>
      </c>
      <c r="F5994" s="16" t="s">
        <v>8</v>
      </c>
      <c r="G5994" s="38" t="str">
        <f>HYPERLINK("http://enext.ua/l002023")</f>
        <v>http://enext.ua/l002023</v>
      </c>
    </row>
    <row r="5995" spans="2:7" ht="11.25" outlineLevel="4" x14ac:dyDescent="0.2">
      <c r="B5995" s="14" t="s">
        <v>11290</v>
      </c>
      <c r="C5995" s="14" t="s">
        <v>11291</v>
      </c>
      <c r="D5995" s="14">
        <v>1</v>
      </c>
      <c r="E5995" s="15">
        <v>144.69999999999999</v>
      </c>
      <c r="F5995" s="16" t="s">
        <v>8</v>
      </c>
      <c r="G5995" s="38" t="str">
        <f>HYPERLINK("http://enext.ua/l002007")</f>
        <v>http://enext.ua/l002007</v>
      </c>
    </row>
    <row r="5996" spans="2:7" ht="11.25" outlineLevel="4" x14ac:dyDescent="0.2">
      <c r="B5996" s="14" t="s">
        <v>11292</v>
      </c>
      <c r="C5996" s="14" t="s">
        <v>11293</v>
      </c>
      <c r="D5996" s="14">
        <v>1</v>
      </c>
      <c r="E5996" s="15">
        <v>167.08</v>
      </c>
      <c r="F5996" s="16" t="s">
        <v>8</v>
      </c>
      <c r="G5996" s="38" t="str">
        <f>HYPERLINK("http://enext.ua/l002008")</f>
        <v>http://enext.ua/l002008</v>
      </c>
    </row>
    <row r="5997" spans="2:7" ht="11.25" outlineLevel="4" x14ac:dyDescent="0.2">
      <c r="B5997" s="14" t="s">
        <v>11294</v>
      </c>
      <c r="C5997" s="14" t="s">
        <v>11295</v>
      </c>
      <c r="D5997" s="14">
        <v>1</v>
      </c>
      <c r="E5997" s="15">
        <v>246.34</v>
      </c>
      <c r="F5997" s="16" t="s">
        <v>8</v>
      </c>
      <c r="G5997" s="38" t="str">
        <f>HYPERLINK("http://enext.ua/l002026")</f>
        <v>http://enext.ua/l002026</v>
      </c>
    </row>
    <row r="5998" spans="2:7" ht="11.25" outlineLevel="4" x14ac:dyDescent="0.2">
      <c r="B5998" s="14" t="s">
        <v>11296</v>
      </c>
      <c r="C5998" s="14" t="s">
        <v>11297</v>
      </c>
      <c r="D5998" s="14">
        <v>1</v>
      </c>
      <c r="E5998" s="15">
        <v>246.34</v>
      </c>
      <c r="F5998" s="16" t="s">
        <v>8</v>
      </c>
      <c r="G5998" s="38" t="str">
        <f>HYPERLINK("http://enext.ua/l002025")</f>
        <v>http://enext.ua/l002025</v>
      </c>
    </row>
    <row r="5999" spans="2:7" ht="11.25" outlineLevel="4" x14ac:dyDescent="0.2">
      <c r="B5999" s="14" t="s">
        <v>11298</v>
      </c>
      <c r="C5999" s="14" t="s">
        <v>11299</v>
      </c>
      <c r="D5999" s="14">
        <v>1</v>
      </c>
      <c r="E5999" s="15">
        <v>125.45</v>
      </c>
      <c r="F5999" s="16" t="s">
        <v>8</v>
      </c>
      <c r="G5999" s="38" t="str">
        <f>HYPERLINK("http://enext.ua/l002010")</f>
        <v>http://enext.ua/l002010</v>
      </c>
    </row>
    <row r="6000" spans="2:7" ht="11.25" outlineLevel="4" x14ac:dyDescent="0.2">
      <c r="B6000" s="14" t="s">
        <v>11300</v>
      </c>
      <c r="C6000" s="14" t="s">
        <v>11301</v>
      </c>
      <c r="D6000" s="14">
        <v>1</v>
      </c>
      <c r="E6000" s="15">
        <v>143.63999999999999</v>
      </c>
      <c r="F6000" s="16" t="s">
        <v>8</v>
      </c>
      <c r="G6000" s="38" t="str">
        <f>HYPERLINK("http://enext.ua/l002028")</f>
        <v>http://enext.ua/l002028</v>
      </c>
    </row>
    <row r="6001" spans="2:7" ht="11.25" outlineLevel="4" x14ac:dyDescent="0.2">
      <c r="B6001" s="14" t="s">
        <v>11302</v>
      </c>
      <c r="C6001" s="14" t="s">
        <v>11303</v>
      </c>
      <c r="D6001" s="14">
        <v>1</v>
      </c>
      <c r="E6001" s="15">
        <v>150.51</v>
      </c>
      <c r="F6001" s="16" t="s">
        <v>8</v>
      </c>
      <c r="G6001" s="38" t="str">
        <f>HYPERLINK("http://enext.ua/l002011")</f>
        <v>http://enext.ua/l002011</v>
      </c>
    </row>
    <row r="6002" spans="2:7" ht="11.25" outlineLevel="4" x14ac:dyDescent="0.2">
      <c r="B6002" s="14" t="s">
        <v>11304</v>
      </c>
      <c r="C6002" s="14" t="s">
        <v>11305</v>
      </c>
      <c r="D6002" s="14">
        <v>1</v>
      </c>
      <c r="E6002" s="15">
        <v>159.53</v>
      </c>
      <c r="F6002" s="16" t="s">
        <v>8</v>
      </c>
      <c r="G6002" s="38" t="str">
        <f>HYPERLINK("http://enext.ua/l002012")</f>
        <v>http://enext.ua/l002012</v>
      </c>
    </row>
    <row r="6003" spans="2:7" ht="11.25" outlineLevel="4" x14ac:dyDescent="0.2">
      <c r="B6003" s="14" t="s">
        <v>11306</v>
      </c>
      <c r="C6003" s="14" t="s">
        <v>11307</v>
      </c>
      <c r="D6003" s="14">
        <v>1</v>
      </c>
      <c r="E6003" s="15">
        <v>243.49</v>
      </c>
      <c r="F6003" s="16" t="s">
        <v>8</v>
      </c>
      <c r="G6003" s="38" t="str">
        <f>HYPERLINK("http://enext.ua/l002030")</f>
        <v>http://enext.ua/l002030</v>
      </c>
    </row>
    <row r="6004" spans="2:7" ht="11.25" outlineLevel="4" x14ac:dyDescent="0.2">
      <c r="B6004" s="14" t="s">
        <v>11308</v>
      </c>
      <c r="C6004" s="14" t="s">
        <v>11309</v>
      </c>
      <c r="D6004" s="14">
        <v>1</v>
      </c>
      <c r="E6004" s="15">
        <v>243.49</v>
      </c>
      <c r="F6004" s="16" t="s">
        <v>8</v>
      </c>
      <c r="G6004" s="38" t="str">
        <f>HYPERLINK("http://enext.ua/l002029")</f>
        <v>http://enext.ua/l002029</v>
      </c>
    </row>
    <row r="6005" spans="2:7" ht="11.25" outlineLevel="4" x14ac:dyDescent="0.2">
      <c r="B6005" s="14" t="s">
        <v>11310</v>
      </c>
      <c r="C6005" s="14" t="s">
        <v>11311</v>
      </c>
      <c r="D6005" s="14">
        <v>1</v>
      </c>
      <c r="E6005" s="15">
        <v>385.01</v>
      </c>
      <c r="F6005" s="16" t="s">
        <v>8</v>
      </c>
      <c r="G6005" s="38" t="str">
        <f>HYPERLINK("http://enext.ua/l002013")</f>
        <v>http://enext.ua/l002013</v>
      </c>
    </row>
    <row r="6006" spans="2:7" ht="11.25" outlineLevel="4" x14ac:dyDescent="0.2">
      <c r="B6006" s="14" t="s">
        <v>11312</v>
      </c>
      <c r="C6006" s="14" t="s">
        <v>11313</v>
      </c>
      <c r="D6006" s="14">
        <v>1</v>
      </c>
      <c r="E6006" s="15">
        <v>163.63999999999999</v>
      </c>
      <c r="F6006" s="16" t="s">
        <v>8</v>
      </c>
      <c r="G6006" s="38" t="str">
        <f>HYPERLINK("http://enext.ua/l002031")</f>
        <v>http://enext.ua/l002031</v>
      </c>
    </row>
    <row r="6007" spans="2:7" ht="11.25" outlineLevel="4" x14ac:dyDescent="0.2">
      <c r="B6007" s="14" t="s">
        <v>11314</v>
      </c>
      <c r="C6007" s="14" t="s">
        <v>11315</v>
      </c>
      <c r="D6007" s="14">
        <v>1</v>
      </c>
      <c r="E6007" s="15">
        <v>200</v>
      </c>
      <c r="F6007" s="16" t="s">
        <v>8</v>
      </c>
      <c r="G6007" s="38" t="str">
        <f>HYPERLINK("http://enext.ua/l002033")</f>
        <v>http://enext.ua/l002033</v>
      </c>
    </row>
    <row r="6008" spans="2:7" ht="11.25" outlineLevel="4" x14ac:dyDescent="0.2">
      <c r="B6008" s="14" t="s">
        <v>11316</v>
      </c>
      <c r="C6008" s="14" t="s">
        <v>11317</v>
      </c>
      <c r="D6008" s="14">
        <v>1</v>
      </c>
      <c r="E6008" s="15">
        <v>159.53</v>
      </c>
      <c r="F6008" s="16" t="s">
        <v>8</v>
      </c>
      <c r="G6008" s="38" t="str">
        <f>HYPERLINK("http://enext.ua/l002035")</f>
        <v>http://enext.ua/l002035</v>
      </c>
    </row>
    <row r="6009" spans="2:7" ht="11.25" outlineLevel="4" x14ac:dyDescent="0.2">
      <c r="B6009" s="14" t="s">
        <v>11318</v>
      </c>
      <c r="C6009" s="14" t="s">
        <v>11319</v>
      </c>
      <c r="D6009" s="14">
        <v>1</v>
      </c>
      <c r="E6009" s="15">
        <v>159.53</v>
      </c>
      <c r="F6009" s="16" t="s">
        <v>8</v>
      </c>
      <c r="G6009" s="38" t="str">
        <f>HYPERLINK("http://enext.ua/l002043")</f>
        <v>http://enext.ua/l002043</v>
      </c>
    </row>
    <row r="6010" spans="2:7" ht="11.25" outlineLevel="4" x14ac:dyDescent="0.2">
      <c r="B6010" s="14" t="s">
        <v>11320</v>
      </c>
      <c r="C6010" s="14" t="s">
        <v>11321</v>
      </c>
      <c r="D6010" s="14">
        <v>1</v>
      </c>
      <c r="E6010" s="15">
        <v>159.53</v>
      </c>
      <c r="F6010" s="16" t="s">
        <v>8</v>
      </c>
      <c r="G6010" s="38" t="str">
        <f>HYPERLINK("http://enext.ua/l002052")</f>
        <v>http://enext.ua/l002052</v>
      </c>
    </row>
    <row r="6011" spans="2:7" ht="22.5" outlineLevel="4" x14ac:dyDescent="0.2">
      <c r="B6011" s="14" t="s">
        <v>11322</v>
      </c>
      <c r="C6011" s="14" t="s">
        <v>11323</v>
      </c>
      <c r="D6011" s="14">
        <v>1</v>
      </c>
      <c r="E6011" s="15">
        <v>287.95999999999998</v>
      </c>
      <c r="F6011" s="16" t="s">
        <v>8</v>
      </c>
      <c r="G6011" s="38" t="str">
        <f>HYPERLINK("http://enext.ua/l002059")</f>
        <v>http://enext.ua/l002059</v>
      </c>
    </row>
    <row r="6012" spans="2:7" ht="12" outlineLevel="3" x14ac:dyDescent="0.2">
      <c r="B6012" s="10"/>
      <c r="C6012" s="36" t="s">
        <v>11324</v>
      </c>
      <c r="D6012" s="10"/>
      <c r="E6012" s="11"/>
      <c r="F6012" s="11"/>
      <c r="G6012" s="10"/>
    </row>
    <row r="6013" spans="2:7" ht="11.25" outlineLevel="4" x14ac:dyDescent="0.2">
      <c r="B6013" s="14" t="s">
        <v>11325</v>
      </c>
      <c r="C6013" s="14" t="s">
        <v>11326</v>
      </c>
      <c r="D6013" s="14">
        <v>1</v>
      </c>
      <c r="E6013" s="15">
        <v>214.39</v>
      </c>
      <c r="F6013" s="16" t="s">
        <v>8</v>
      </c>
      <c r="G6013" s="38" t="str">
        <f>HYPERLINK("http://enext.ua/l0670002")</f>
        <v>http://enext.ua/l0670002</v>
      </c>
    </row>
    <row r="6014" spans="2:7" ht="22.5" outlineLevel="4" x14ac:dyDescent="0.2">
      <c r="B6014" s="14" t="s">
        <v>11327</v>
      </c>
      <c r="C6014" s="14" t="s">
        <v>11328</v>
      </c>
      <c r="D6014" s="14">
        <v>1</v>
      </c>
      <c r="E6014" s="15">
        <v>229.4</v>
      </c>
      <c r="F6014" s="16" t="s">
        <v>8</v>
      </c>
      <c r="G6014" s="14"/>
    </row>
    <row r="6015" spans="2:7" ht="11.25" outlineLevel="4" x14ac:dyDescent="0.2">
      <c r="B6015" s="14" t="s">
        <v>11329</v>
      </c>
      <c r="C6015" s="14" t="s">
        <v>11330</v>
      </c>
      <c r="D6015" s="14">
        <v>1</v>
      </c>
      <c r="E6015" s="15">
        <v>169.85</v>
      </c>
      <c r="F6015" s="16" t="s">
        <v>8</v>
      </c>
      <c r="G6015" s="38" t="str">
        <f>HYPERLINK("http://enext.ua/l0670001")</f>
        <v>http://enext.ua/l0670001</v>
      </c>
    </row>
    <row r="6016" spans="2:7" ht="22.5" outlineLevel="4" x14ac:dyDescent="0.2">
      <c r="B6016" s="14" t="s">
        <v>11331</v>
      </c>
      <c r="C6016" s="14" t="s">
        <v>11332</v>
      </c>
      <c r="D6016" s="14">
        <v>1</v>
      </c>
      <c r="E6016" s="15">
        <v>184.85</v>
      </c>
      <c r="F6016" s="16" t="s">
        <v>8</v>
      </c>
      <c r="G6016" s="14"/>
    </row>
    <row r="6017" spans="2:7" ht="12" outlineLevel="3" x14ac:dyDescent="0.2">
      <c r="B6017" s="10"/>
      <c r="C6017" s="36" t="s">
        <v>11333</v>
      </c>
      <c r="D6017" s="10"/>
      <c r="E6017" s="11"/>
      <c r="F6017" s="11"/>
      <c r="G6017" s="10"/>
    </row>
    <row r="6018" spans="2:7" ht="12" outlineLevel="4" x14ac:dyDescent="0.2">
      <c r="B6018" s="12"/>
      <c r="C6018" s="37" t="s">
        <v>11334</v>
      </c>
      <c r="D6018" s="12"/>
      <c r="E6018" s="13"/>
      <c r="F6018" s="13"/>
      <c r="G6018" s="12"/>
    </row>
    <row r="6019" spans="2:7" ht="11.25" outlineLevel="5" x14ac:dyDescent="0.2">
      <c r="B6019" s="14" t="s">
        <v>11335</v>
      </c>
      <c r="C6019" s="14" t="s">
        <v>11336</v>
      </c>
      <c r="D6019" s="14">
        <v>1</v>
      </c>
      <c r="E6019" s="15">
        <v>180.72</v>
      </c>
      <c r="F6019" s="16" t="s">
        <v>8</v>
      </c>
      <c r="G6019" s="14"/>
    </row>
    <row r="6020" spans="2:7" ht="11.25" outlineLevel="5" x14ac:dyDescent="0.2">
      <c r="B6020" s="14" t="s">
        <v>11337</v>
      </c>
      <c r="C6020" s="14" t="s">
        <v>11338</v>
      </c>
      <c r="D6020" s="14">
        <v>1</v>
      </c>
      <c r="E6020" s="15">
        <v>251.27</v>
      </c>
      <c r="F6020" s="16" t="s">
        <v>8</v>
      </c>
      <c r="G6020" s="38" t="str">
        <f>HYPERLINK("http://enext.ua/l0120031")</f>
        <v>http://enext.ua/l0120031</v>
      </c>
    </row>
    <row r="6021" spans="2:7" ht="11.25" outlineLevel="5" x14ac:dyDescent="0.2">
      <c r="B6021" s="14" t="s">
        <v>11339</v>
      </c>
      <c r="C6021" s="14" t="s">
        <v>11340</v>
      </c>
      <c r="D6021" s="14">
        <v>1</v>
      </c>
      <c r="E6021" s="15">
        <v>363.18</v>
      </c>
      <c r="F6021" s="16" t="s">
        <v>8</v>
      </c>
      <c r="G6021" s="38" t="str">
        <f>HYPERLINK("http://enext.ua/l0120033")</f>
        <v>http://enext.ua/l0120033</v>
      </c>
    </row>
    <row r="6022" spans="2:7" ht="11.25" outlineLevel="5" x14ac:dyDescent="0.2">
      <c r="B6022" s="14" t="s">
        <v>11341</v>
      </c>
      <c r="C6022" s="14" t="s">
        <v>11342</v>
      </c>
      <c r="D6022" s="14">
        <v>1</v>
      </c>
      <c r="E6022" s="15">
        <v>525</v>
      </c>
      <c r="F6022" s="16" t="s">
        <v>8</v>
      </c>
      <c r="G6022" s="38" t="str">
        <f>HYPERLINK("http://enext.ua/l0120035")</f>
        <v>http://enext.ua/l0120035</v>
      </c>
    </row>
    <row r="6023" spans="2:7" ht="11.25" outlineLevel="5" x14ac:dyDescent="0.2">
      <c r="B6023" s="14" t="s">
        <v>11343</v>
      </c>
      <c r="C6023" s="14" t="s">
        <v>11344</v>
      </c>
      <c r="D6023" s="14">
        <v>1</v>
      </c>
      <c r="E6023" s="17">
        <v>1054.0999999999999</v>
      </c>
      <c r="F6023" s="16" t="s">
        <v>8</v>
      </c>
      <c r="G6023" s="14"/>
    </row>
    <row r="6024" spans="2:7" ht="11.25" outlineLevel="5" x14ac:dyDescent="0.2">
      <c r="B6024" s="14" t="s">
        <v>11345</v>
      </c>
      <c r="C6024" s="14" t="s">
        <v>11346</v>
      </c>
      <c r="D6024" s="14">
        <v>1</v>
      </c>
      <c r="E6024" s="17">
        <v>2171.8200000000002</v>
      </c>
      <c r="F6024" s="16" t="s">
        <v>8</v>
      </c>
      <c r="G6024" s="38" t="str">
        <f>HYPERLINK("http://enext.ua/l0120039")</f>
        <v>http://enext.ua/l0120039</v>
      </c>
    </row>
    <row r="6025" spans="2:7" ht="11.25" outlineLevel="4" x14ac:dyDescent="0.2">
      <c r="B6025" s="14" t="s">
        <v>11347</v>
      </c>
      <c r="C6025" s="14" t="s">
        <v>11348</v>
      </c>
      <c r="D6025" s="14">
        <v>1</v>
      </c>
      <c r="E6025" s="15">
        <v>90.91</v>
      </c>
      <c r="F6025" s="16" t="s">
        <v>8</v>
      </c>
      <c r="G6025" s="38" t="str">
        <f>HYPERLINK("http://enext.ua/l0120045")</f>
        <v>http://enext.ua/l0120045</v>
      </c>
    </row>
    <row r="6026" spans="2:7" ht="22.5" outlineLevel="4" x14ac:dyDescent="0.2">
      <c r="B6026" s="14" t="s">
        <v>11349</v>
      </c>
      <c r="C6026" s="14" t="s">
        <v>11350</v>
      </c>
      <c r="D6026" s="14">
        <v>1</v>
      </c>
      <c r="E6026" s="15">
        <v>90.91</v>
      </c>
      <c r="F6026" s="16" t="s">
        <v>8</v>
      </c>
      <c r="G6026" s="38" t="str">
        <f>HYPERLINK("http://enext.ua/l0120012")</f>
        <v>http://enext.ua/l0120012</v>
      </c>
    </row>
    <row r="6027" spans="2:7" ht="12" outlineLevel="3" x14ac:dyDescent="0.2">
      <c r="B6027" s="10"/>
      <c r="C6027" s="36" t="s">
        <v>11351</v>
      </c>
      <c r="D6027" s="10"/>
      <c r="E6027" s="11"/>
      <c r="F6027" s="11"/>
      <c r="G6027" s="10"/>
    </row>
    <row r="6028" spans="2:7" ht="12" outlineLevel="4" x14ac:dyDescent="0.2">
      <c r="B6028" s="12"/>
      <c r="C6028" s="37" t="s">
        <v>11352</v>
      </c>
      <c r="D6028" s="12"/>
      <c r="E6028" s="13"/>
      <c r="F6028" s="13"/>
      <c r="G6028" s="12"/>
    </row>
    <row r="6029" spans="2:7" ht="11.25" outlineLevel="5" x14ac:dyDescent="0.2">
      <c r="B6029" s="14" t="s">
        <v>11353</v>
      </c>
      <c r="C6029" s="14" t="s">
        <v>11354</v>
      </c>
      <c r="D6029" s="14">
        <v>1</v>
      </c>
      <c r="E6029" s="15">
        <v>142.66999999999999</v>
      </c>
      <c r="F6029" s="16" t="s">
        <v>8</v>
      </c>
      <c r="G6029" s="38" t="str">
        <f>HYPERLINK("http://enext.ua/l003001")</f>
        <v>http://enext.ua/l003001</v>
      </c>
    </row>
    <row r="6030" spans="2:7" ht="11.25" outlineLevel="5" x14ac:dyDescent="0.2">
      <c r="B6030" s="14" t="s">
        <v>11355</v>
      </c>
      <c r="C6030" s="14" t="s">
        <v>11356</v>
      </c>
      <c r="D6030" s="14">
        <v>1</v>
      </c>
      <c r="E6030" s="15">
        <v>142.66999999999999</v>
      </c>
      <c r="F6030" s="16" t="s">
        <v>8</v>
      </c>
      <c r="G6030" s="38" t="str">
        <f>HYPERLINK("http://enext.ua/l003002")</f>
        <v>http://enext.ua/l003002</v>
      </c>
    </row>
    <row r="6031" spans="2:7" ht="11.25" outlineLevel="5" x14ac:dyDescent="0.2">
      <c r="B6031" s="14" t="s">
        <v>11357</v>
      </c>
      <c r="C6031" s="14" t="s">
        <v>11358</v>
      </c>
      <c r="D6031" s="14">
        <v>1</v>
      </c>
      <c r="E6031" s="15">
        <v>211.83</v>
      </c>
      <c r="F6031" s="16" t="s">
        <v>8</v>
      </c>
      <c r="G6031" s="38" t="str">
        <f>HYPERLINK("http://enext.ua/l003003")</f>
        <v>http://enext.ua/l003003</v>
      </c>
    </row>
    <row r="6032" spans="2:7" ht="11.25" outlineLevel="5" x14ac:dyDescent="0.2">
      <c r="B6032" s="14" t="s">
        <v>11359</v>
      </c>
      <c r="C6032" s="14" t="s">
        <v>11360</v>
      </c>
      <c r="D6032" s="14">
        <v>1</v>
      </c>
      <c r="E6032" s="15">
        <v>211.83</v>
      </c>
      <c r="F6032" s="16" t="s">
        <v>8</v>
      </c>
      <c r="G6032" s="38" t="str">
        <f>HYPERLINK("http://enext.ua/l003004")</f>
        <v>http://enext.ua/l003004</v>
      </c>
    </row>
    <row r="6033" spans="2:7" ht="11.25" outlineLevel="5" x14ac:dyDescent="0.2">
      <c r="B6033" s="14" t="s">
        <v>11361</v>
      </c>
      <c r="C6033" s="14" t="s">
        <v>11362</v>
      </c>
      <c r="D6033" s="14">
        <v>1</v>
      </c>
      <c r="E6033" s="15">
        <v>421.94</v>
      </c>
      <c r="F6033" s="16" t="s">
        <v>8</v>
      </c>
      <c r="G6033" s="38" t="str">
        <f>HYPERLINK("http://enext.ua/l003005")</f>
        <v>http://enext.ua/l003005</v>
      </c>
    </row>
    <row r="6034" spans="2:7" ht="11.25" outlineLevel="5" x14ac:dyDescent="0.2">
      <c r="B6034" s="14" t="s">
        <v>11363</v>
      </c>
      <c r="C6034" s="14" t="s">
        <v>11364</v>
      </c>
      <c r="D6034" s="14">
        <v>1</v>
      </c>
      <c r="E6034" s="15">
        <v>421.94</v>
      </c>
      <c r="F6034" s="16" t="s">
        <v>8</v>
      </c>
      <c r="G6034" s="38" t="str">
        <f>HYPERLINK("http://enext.ua/l003006")</f>
        <v>http://enext.ua/l003006</v>
      </c>
    </row>
    <row r="6035" spans="2:7" ht="11.25" outlineLevel="5" x14ac:dyDescent="0.2">
      <c r="B6035" s="14" t="s">
        <v>11365</v>
      </c>
      <c r="C6035" s="14" t="s">
        <v>11366</v>
      </c>
      <c r="D6035" s="14">
        <v>1</v>
      </c>
      <c r="E6035" s="15">
        <v>546.03</v>
      </c>
      <c r="F6035" s="16" t="s">
        <v>8</v>
      </c>
      <c r="G6035" s="38" t="str">
        <f>HYPERLINK("http://enext.ua/l003008")</f>
        <v>http://enext.ua/l003008</v>
      </c>
    </row>
    <row r="6036" spans="2:7" ht="11.25" outlineLevel="5" x14ac:dyDescent="0.2">
      <c r="B6036" s="14" t="s">
        <v>11367</v>
      </c>
      <c r="C6036" s="14" t="s">
        <v>11368</v>
      </c>
      <c r="D6036" s="14">
        <v>1</v>
      </c>
      <c r="E6036" s="15">
        <v>419</v>
      </c>
      <c r="F6036" s="16" t="s">
        <v>8</v>
      </c>
      <c r="G6036" s="38" t="str">
        <f>HYPERLINK("http://enext.ua/l003009")</f>
        <v>http://enext.ua/l003009</v>
      </c>
    </row>
    <row r="6037" spans="2:7" ht="11.25" outlineLevel="5" x14ac:dyDescent="0.2">
      <c r="B6037" s="14" t="s">
        <v>11369</v>
      </c>
      <c r="C6037" s="14" t="s">
        <v>11370</v>
      </c>
      <c r="D6037" s="14">
        <v>1</v>
      </c>
      <c r="E6037" s="15">
        <v>419</v>
      </c>
      <c r="F6037" s="16" t="s">
        <v>8</v>
      </c>
      <c r="G6037" s="38" t="str">
        <f>HYPERLINK("http://enext.ua/l003010")</f>
        <v>http://enext.ua/l003010</v>
      </c>
    </row>
    <row r="6038" spans="2:7" ht="11.25" outlineLevel="5" x14ac:dyDescent="0.2">
      <c r="B6038" s="14" t="s">
        <v>11371</v>
      </c>
      <c r="C6038" s="14" t="s">
        <v>11372</v>
      </c>
      <c r="D6038" s="14">
        <v>1</v>
      </c>
      <c r="E6038" s="15">
        <v>524.17999999999995</v>
      </c>
      <c r="F6038" s="16" t="s">
        <v>8</v>
      </c>
      <c r="G6038" s="38" t="str">
        <f>HYPERLINK("http://enext.ua/l003011")</f>
        <v>http://enext.ua/l003011</v>
      </c>
    </row>
    <row r="6039" spans="2:7" ht="11.25" outlineLevel="5" x14ac:dyDescent="0.2">
      <c r="B6039" s="14" t="s">
        <v>11373</v>
      </c>
      <c r="C6039" s="14" t="s">
        <v>11374</v>
      </c>
      <c r="D6039" s="14">
        <v>1</v>
      </c>
      <c r="E6039" s="15">
        <v>524.17999999999995</v>
      </c>
      <c r="F6039" s="16" t="s">
        <v>8</v>
      </c>
      <c r="G6039" s="38" t="str">
        <f>HYPERLINK("http://enext.ua/l003012")</f>
        <v>http://enext.ua/l003012</v>
      </c>
    </row>
    <row r="6040" spans="2:7" ht="11.25" outlineLevel="5" x14ac:dyDescent="0.2">
      <c r="B6040" s="14" t="s">
        <v>11375</v>
      </c>
      <c r="C6040" s="14" t="s">
        <v>11376</v>
      </c>
      <c r="D6040" s="14">
        <v>1</v>
      </c>
      <c r="E6040" s="15">
        <v>417.25</v>
      </c>
      <c r="F6040" s="16" t="s">
        <v>8</v>
      </c>
      <c r="G6040" s="38" t="str">
        <f>HYPERLINK("http://enext.ua/l0140001")</f>
        <v>http://enext.ua/l0140001</v>
      </c>
    </row>
    <row r="6041" spans="2:7" ht="11.25" outlineLevel="5" x14ac:dyDescent="0.2">
      <c r="B6041" s="14" t="s">
        <v>11377</v>
      </c>
      <c r="C6041" s="14" t="s">
        <v>11378</v>
      </c>
      <c r="D6041" s="14">
        <v>1</v>
      </c>
      <c r="E6041" s="15">
        <v>462.88</v>
      </c>
      <c r="F6041" s="16" t="s">
        <v>8</v>
      </c>
      <c r="G6041" s="38" t="str">
        <f>HYPERLINK("http://enext.ua/l0140002")</f>
        <v>http://enext.ua/l0140002</v>
      </c>
    </row>
    <row r="6042" spans="2:7" ht="22.5" outlineLevel="5" x14ac:dyDescent="0.2">
      <c r="B6042" s="14" t="s">
        <v>11379</v>
      </c>
      <c r="C6042" s="14" t="s">
        <v>11380</v>
      </c>
      <c r="D6042" s="14">
        <v>1</v>
      </c>
      <c r="E6042" s="15">
        <v>553.24</v>
      </c>
      <c r="F6042" s="16" t="s">
        <v>8</v>
      </c>
      <c r="G6042" s="38" t="str">
        <f>HYPERLINK("http://enext.ua/l0140004")</f>
        <v>http://enext.ua/l0140004</v>
      </c>
    </row>
    <row r="6043" spans="2:7" ht="11.25" outlineLevel="5" x14ac:dyDescent="0.2">
      <c r="B6043" s="14" t="s">
        <v>11381</v>
      </c>
      <c r="C6043" s="14" t="s">
        <v>11382</v>
      </c>
      <c r="D6043" s="14">
        <v>1</v>
      </c>
      <c r="E6043" s="15">
        <v>45.33</v>
      </c>
      <c r="F6043" s="16" t="s">
        <v>8</v>
      </c>
      <c r="G6043" s="38" t="str">
        <f>HYPERLINK("http://enext.ua/l0400003")</f>
        <v>http://enext.ua/l0400003</v>
      </c>
    </row>
    <row r="6044" spans="2:7" ht="11.25" outlineLevel="5" x14ac:dyDescent="0.2">
      <c r="B6044" s="14" t="s">
        <v>11383</v>
      </c>
      <c r="C6044" s="14" t="s">
        <v>11384</v>
      </c>
      <c r="D6044" s="14">
        <v>1</v>
      </c>
      <c r="E6044" s="15">
        <v>20.05</v>
      </c>
      <c r="F6044" s="16" t="s">
        <v>8</v>
      </c>
      <c r="G6044" s="38" t="str">
        <f>HYPERLINK("http://enext.ua/l0400001")</f>
        <v>http://enext.ua/l0400001</v>
      </c>
    </row>
    <row r="6045" spans="2:7" ht="12" outlineLevel="4" x14ac:dyDescent="0.2">
      <c r="B6045" s="12"/>
      <c r="C6045" s="37" t="s">
        <v>11385</v>
      </c>
      <c r="D6045" s="12"/>
      <c r="E6045" s="13"/>
      <c r="F6045" s="13"/>
      <c r="G6045" s="12"/>
    </row>
    <row r="6046" spans="2:7" ht="11.25" outlineLevel="5" x14ac:dyDescent="0.2">
      <c r="B6046" s="14" t="s">
        <v>11386</v>
      </c>
      <c r="C6046" s="14" t="s">
        <v>11387</v>
      </c>
      <c r="D6046" s="14">
        <v>1</v>
      </c>
      <c r="E6046" s="17">
        <v>1488.03</v>
      </c>
      <c r="F6046" s="16" t="s">
        <v>8</v>
      </c>
      <c r="G6046" s="38" t="str">
        <f>HYPERLINK("http://enext.ua/l008008")</f>
        <v>http://enext.ua/l008008</v>
      </c>
    </row>
    <row r="6047" spans="2:7" ht="11.25" outlineLevel="5" x14ac:dyDescent="0.2">
      <c r="B6047" s="14" t="s">
        <v>11388</v>
      </c>
      <c r="C6047" s="14" t="s">
        <v>11389</v>
      </c>
      <c r="D6047" s="14">
        <v>1</v>
      </c>
      <c r="E6047" s="17">
        <v>1662.1</v>
      </c>
      <c r="F6047" s="16" t="s">
        <v>8</v>
      </c>
      <c r="G6047" s="38" t="str">
        <f>HYPERLINK("http://enext.ua/l008009")</f>
        <v>http://enext.ua/l008009</v>
      </c>
    </row>
    <row r="6048" spans="2:7" ht="11.25" outlineLevel="5" x14ac:dyDescent="0.2">
      <c r="B6048" s="14" t="s">
        <v>11390</v>
      </c>
      <c r="C6048" s="14" t="s">
        <v>11391</v>
      </c>
      <c r="D6048" s="14">
        <v>1</v>
      </c>
      <c r="E6048" s="17">
        <v>1662.1</v>
      </c>
      <c r="F6048" s="16" t="s">
        <v>8</v>
      </c>
      <c r="G6048" s="38" t="str">
        <f>HYPERLINK("http://enext.ua/l008001")</f>
        <v>http://enext.ua/l008001</v>
      </c>
    </row>
    <row r="6049" spans="2:7" ht="11.25" outlineLevel="5" x14ac:dyDescent="0.2">
      <c r="B6049" s="14" t="s">
        <v>11392</v>
      </c>
      <c r="C6049" s="14" t="s">
        <v>11393</v>
      </c>
      <c r="D6049" s="14">
        <v>1</v>
      </c>
      <c r="E6049" s="17">
        <v>1751.48</v>
      </c>
      <c r="F6049" s="16" t="s">
        <v>8</v>
      </c>
      <c r="G6049" s="38" t="str">
        <f>HYPERLINK("http://enext.ua/l008002")</f>
        <v>http://enext.ua/l008002</v>
      </c>
    </row>
    <row r="6050" spans="2:7" ht="11.25" outlineLevel="5" x14ac:dyDescent="0.2">
      <c r="B6050" s="14" t="s">
        <v>11394</v>
      </c>
      <c r="C6050" s="14" t="s">
        <v>11395</v>
      </c>
      <c r="D6050" s="14">
        <v>1</v>
      </c>
      <c r="E6050" s="17">
        <v>3087.43</v>
      </c>
      <c r="F6050" s="16" t="s">
        <v>8</v>
      </c>
      <c r="G6050" s="38" t="str">
        <f>HYPERLINK("http://enext.ua/l008003")</f>
        <v>http://enext.ua/l008003</v>
      </c>
    </row>
    <row r="6051" spans="2:7" ht="11.25" outlineLevel="5" x14ac:dyDescent="0.2">
      <c r="B6051" s="14" t="s">
        <v>11396</v>
      </c>
      <c r="C6051" s="14" t="s">
        <v>11397</v>
      </c>
      <c r="D6051" s="14">
        <v>1</v>
      </c>
      <c r="E6051" s="17">
        <v>3623.4</v>
      </c>
      <c r="F6051" s="16" t="s">
        <v>8</v>
      </c>
      <c r="G6051" s="38" t="str">
        <f>HYPERLINK("http://enext.ua/l008005")</f>
        <v>http://enext.ua/l008005</v>
      </c>
    </row>
    <row r="6052" spans="2:7" ht="22.5" outlineLevel="5" x14ac:dyDescent="0.2">
      <c r="B6052" s="14" t="s">
        <v>11398</v>
      </c>
      <c r="C6052" s="14" t="s">
        <v>11399</v>
      </c>
      <c r="D6052" s="14">
        <v>1</v>
      </c>
      <c r="E6052" s="17">
        <v>2456.0300000000002</v>
      </c>
      <c r="F6052" s="16" t="s">
        <v>8</v>
      </c>
      <c r="G6052" s="38" t="str">
        <f>HYPERLINK("http://enext.ua/l008010")</f>
        <v>http://enext.ua/l008010</v>
      </c>
    </row>
    <row r="6053" spans="2:7" ht="22.5" outlineLevel="5" x14ac:dyDescent="0.2">
      <c r="B6053" s="14" t="s">
        <v>11400</v>
      </c>
      <c r="C6053" s="14" t="s">
        <v>11401</v>
      </c>
      <c r="D6053" s="14">
        <v>1</v>
      </c>
      <c r="E6053" s="17">
        <v>2694.45</v>
      </c>
      <c r="F6053" s="16" t="s">
        <v>8</v>
      </c>
      <c r="G6053" s="38" t="str">
        <f>HYPERLINK("http://enext.ua/l008011")</f>
        <v>http://enext.ua/l008011</v>
      </c>
    </row>
    <row r="6054" spans="2:7" ht="11.25" outlineLevel="5" x14ac:dyDescent="0.2">
      <c r="B6054" s="14" t="s">
        <v>11402</v>
      </c>
      <c r="C6054" s="14" t="s">
        <v>11403</v>
      </c>
      <c r="D6054" s="14">
        <v>1</v>
      </c>
      <c r="E6054" s="17">
        <v>2198.08</v>
      </c>
      <c r="F6054" s="16" t="s">
        <v>8</v>
      </c>
      <c r="G6054" s="38" t="str">
        <f>HYPERLINK("http://enext.ua/l0600001")</f>
        <v>http://enext.ua/l0600001</v>
      </c>
    </row>
    <row r="6055" spans="2:7" ht="11.25" outlineLevel="5" x14ac:dyDescent="0.2">
      <c r="B6055" s="14" t="s">
        <v>11404</v>
      </c>
      <c r="C6055" s="14" t="s">
        <v>11405</v>
      </c>
      <c r="D6055" s="14">
        <v>1</v>
      </c>
      <c r="E6055" s="17">
        <v>2459.6</v>
      </c>
      <c r="F6055" s="16" t="s">
        <v>8</v>
      </c>
      <c r="G6055" s="38" t="str">
        <f>HYPERLINK("http://enext.ua/l0600002")</f>
        <v>http://enext.ua/l0600002</v>
      </c>
    </row>
    <row r="6056" spans="2:7" ht="22.5" outlineLevel="5" x14ac:dyDescent="0.2">
      <c r="B6056" s="14" t="s">
        <v>11406</v>
      </c>
      <c r="C6056" s="14" t="s">
        <v>11407</v>
      </c>
      <c r="D6056" s="14">
        <v>1</v>
      </c>
      <c r="E6056" s="17">
        <v>2707.93</v>
      </c>
      <c r="F6056" s="16" t="s">
        <v>8</v>
      </c>
      <c r="G6056" s="38" t="str">
        <f>HYPERLINK("http://enext.ua/l0600003")</f>
        <v>http://enext.ua/l0600003</v>
      </c>
    </row>
    <row r="6057" spans="2:7" ht="22.5" outlineLevel="5" x14ac:dyDescent="0.2">
      <c r="B6057" s="14" t="s">
        <v>11408</v>
      </c>
      <c r="C6057" s="14" t="s">
        <v>11409</v>
      </c>
      <c r="D6057" s="14">
        <v>1</v>
      </c>
      <c r="E6057" s="17">
        <v>3368.48</v>
      </c>
      <c r="F6057" s="16" t="s">
        <v>8</v>
      </c>
      <c r="G6057" s="38" t="str">
        <f>HYPERLINK("http://enext.ua/l0600004")</f>
        <v>http://enext.ua/l0600004</v>
      </c>
    </row>
    <row r="6058" spans="2:7" ht="11.25" outlineLevel="5" x14ac:dyDescent="0.2">
      <c r="B6058" s="14" t="s">
        <v>11410</v>
      </c>
      <c r="C6058" s="14" t="s">
        <v>11411</v>
      </c>
      <c r="D6058" s="14">
        <v>1</v>
      </c>
      <c r="E6058" s="17">
        <v>3087.43</v>
      </c>
      <c r="F6058" s="16" t="s">
        <v>8</v>
      </c>
      <c r="G6058" s="38" t="str">
        <f>HYPERLINK("http://enext.ua/l008004")</f>
        <v>http://enext.ua/l008004</v>
      </c>
    </row>
    <row r="6059" spans="2:7" ht="12" outlineLevel="4" x14ac:dyDescent="0.2">
      <c r="B6059" s="12"/>
      <c r="C6059" s="37" t="s">
        <v>11412</v>
      </c>
      <c r="D6059" s="12"/>
      <c r="E6059" s="13"/>
      <c r="F6059" s="13"/>
      <c r="G6059" s="12"/>
    </row>
    <row r="6060" spans="2:7" ht="22.5" outlineLevel="5" x14ac:dyDescent="0.2">
      <c r="B6060" s="14" t="s">
        <v>11413</v>
      </c>
      <c r="C6060" s="14" t="s">
        <v>11414</v>
      </c>
      <c r="D6060" s="14">
        <v>1</v>
      </c>
      <c r="E6060" s="15">
        <v>399.12</v>
      </c>
      <c r="F6060" s="16" t="s">
        <v>8</v>
      </c>
      <c r="G6060" s="38" t="str">
        <f>HYPERLINK("http://enext.ua/l0700001")</f>
        <v>http://enext.ua/l0700001</v>
      </c>
    </row>
    <row r="6061" spans="2:7" ht="22.5" outlineLevel="5" x14ac:dyDescent="0.2">
      <c r="B6061" s="14" t="s">
        <v>11415</v>
      </c>
      <c r="C6061" s="14" t="s">
        <v>11416</v>
      </c>
      <c r="D6061" s="14">
        <v>1</v>
      </c>
      <c r="E6061" s="15">
        <v>613</v>
      </c>
      <c r="F6061" s="16" t="s">
        <v>8</v>
      </c>
      <c r="G6061" s="38" t="str">
        <f>HYPERLINK("http://enext.ua/l0700002")</f>
        <v>http://enext.ua/l0700002</v>
      </c>
    </row>
    <row r="6062" spans="2:7" ht="12" outlineLevel="3" x14ac:dyDescent="0.2">
      <c r="B6062" s="10"/>
      <c r="C6062" s="36" t="s">
        <v>11417</v>
      </c>
      <c r="D6062" s="10"/>
      <c r="E6062" s="11"/>
      <c r="F6062" s="11"/>
      <c r="G6062" s="10"/>
    </row>
    <row r="6063" spans="2:7" ht="12" outlineLevel="4" x14ac:dyDescent="0.2">
      <c r="B6063" s="12"/>
      <c r="C6063" s="37" t="s">
        <v>11418</v>
      </c>
      <c r="D6063" s="12"/>
      <c r="E6063" s="13"/>
      <c r="F6063" s="13"/>
      <c r="G6063" s="12"/>
    </row>
    <row r="6064" spans="2:7" ht="11.25" outlineLevel="5" x14ac:dyDescent="0.2">
      <c r="B6064" s="14" t="s">
        <v>11419</v>
      </c>
      <c r="C6064" s="14" t="s">
        <v>11420</v>
      </c>
      <c r="D6064" s="14">
        <v>1</v>
      </c>
      <c r="E6064" s="15">
        <v>703.75</v>
      </c>
      <c r="F6064" s="16" t="s">
        <v>8</v>
      </c>
      <c r="G6064" s="38" t="str">
        <f>HYPERLINK("http://enext.ua/l0660001")</f>
        <v>http://enext.ua/l0660001</v>
      </c>
    </row>
    <row r="6065" spans="2:7" ht="11.25" outlineLevel="5" x14ac:dyDescent="0.2">
      <c r="B6065" s="14" t="s">
        <v>11421</v>
      </c>
      <c r="C6065" s="14" t="s">
        <v>11422</v>
      </c>
      <c r="D6065" s="14">
        <v>1</v>
      </c>
      <c r="E6065" s="17">
        <v>1353.92</v>
      </c>
      <c r="F6065" s="16" t="s">
        <v>8</v>
      </c>
      <c r="G6065" s="38" t="str">
        <f>HYPERLINK("http://enext.ua/l0660041")</f>
        <v>http://enext.ua/l0660041</v>
      </c>
    </row>
    <row r="6066" spans="2:7" ht="11.25" outlineLevel="5" x14ac:dyDescent="0.2">
      <c r="B6066" s="14" t="s">
        <v>11423</v>
      </c>
      <c r="C6066" s="14" t="s">
        <v>11424</v>
      </c>
      <c r="D6066" s="14">
        <v>1</v>
      </c>
      <c r="E6066" s="15">
        <v>763.32</v>
      </c>
      <c r="F6066" s="16" t="s">
        <v>8</v>
      </c>
      <c r="G6066" s="38" t="str">
        <f>HYPERLINK("http://enext.ua/l0660030")</f>
        <v>http://enext.ua/l0660030</v>
      </c>
    </row>
    <row r="6067" spans="2:7" ht="11.25" outlineLevel="5" x14ac:dyDescent="0.2">
      <c r="B6067" s="14" t="s">
        <v>11425</v>
      </c>
      <c r="C6067" s="14" t="s">
        <v>11426</v>
      </c>
      <c r="D6067" s="14">
        <v>1</v>
      </c>
      <c r="E6067" s="15">
        <v>818.23</v>
      </c>
      <c r="F6067" s="16" t="s">
        <v>8</v>
      </c>
      <c r="G6067" s="38" t="str">
        <f>HYPERLINK("http://enext.ua/l0660040")</f>
        <v>http://enext.ua/l0660040</v>
      </c>
    </row>
    <row r="6068" spans="2:7" ht="11.25" outlineLevel="5" x14ac:dyDescent="0.2">
      <c r="B6068" s="14" t="s">
        <v>11427</v>
      </c>
      <c r="C6068" s="14" t="s">
        <v>11428</v>
      </c>
      <c r="D6068" s="14">
        <v>1</v>
      </c>
      <c r="E6068" s="17">
        <v>1099.49</v>
      </c>
      <c r="F6068" s="16" t="s">
        <v>8</v>
      </c>
      <c r="G6068" s="38" t="str">
        <f>HYPERLINK("http://enext.ua/l0660061")</f>
        <v>http://enext.ua/l0660061</v>
      </c>
    </row>
    <row r="6069" spans="2:7" ht="11.25" outlineLevel="5" x14ac:dyDescent="0.2">
      <c r="B6069" s="14" t="s">
        <v>11429</v>
      </c>
      <c r="C6069" s="14" t="s">
        <v>11430</v>
      </c>
      <c r="D6069" s="14">
        <v>1</v>
      </c>
      <c r="E6069" s="17">
        <v>1304.3599999999999</v>
      </c>
      <c r="F6069" s="16" t="s">
        <v>8</v>
      </c>
      <c r="G6069" s="38" t="str">
        <f>HYPERLINK("http://enext.ua/l0660050")</f>
        <v>http://enext.ua/l0660050</v>
      </c>
    </row>
    <row r="6070" spans="2:7" ht="12" outlineLevel="4" x14ac:dyDescent="0.2">
      <c r="B6070" s="12"/>
      <c r="C6070" s="37" t="s">
        <v>11431</v>
      </c>
      <c r="D6070" s="12"/>
      <c r="E6070" s="13"/>
      <c r="F6070" s="13"/>
      <c r="G6070" s="12"/>
    </row>
    <row r="6071" spans="2:7" ht="11.25" outlineLevel="5" x14ac:dyDescent="0.2">
      <c r="B6071" s="14" t="s">
        <v>11432</v>
      </c>
      <c r="C6071" s="14" t="s">
        <v>11433</v>
      </c>
      <c r="D6071" s="14">
        <v>1</v>
      </c>
      <c r="E6071" s="15">
        <v>54.47</v>
      </c>
      <c r="F6071" s="16" t="s">
        <v>8</v>
      </c>
      <c r="G6071" s="38" t="str">
        <f>HYPERLINK("http://enext.ua/l0660070")</f>
        <v>http://enext.ua/l0660070</v>
      </c>
    </row>
    <row r="6072" spans="2:7" ht="22.5" outlineLevel="5" x14ac:dyDescent="0.2">
      <c r="B6072" s="14" t="s">
        <v>11434</v>
      </c>
      <c r="C6072" s="14" t="s">
        <v>11435</v>
      </c>
      <c r="D6072" s="14">
        <v>1</v>
      </c>
      <c r="E6072" s="15">
        <v>54.47</v>
      </c>
      <c r="F6072" s="16" t="s">
        <v>8</v>
      </c>
      <c r="G6072" s="38" t="str">
        <f>HYPERLINK("http://enext.ua/l0660081")</f>
        <v>http://enext.ua/l0660081</v>
      </c>
    </row>
    <row r="6073" spans="2:7" ht="22.5" outlineLevel="5" x14ac:dyDescent="0.2">
      <c r="B6073" s="14" t="s">
        <v>11436</v>
      </c>
      <c r="C6073" s="14" t="s">
        <v>11437</v>
      </c>
      <c r="D6073" s="14">
        <v>1</v>
      </c>
      <c r="E6073" s="15">
        <v>54.47</v>
      </c>
      <c r="F6073" s="16" t="s">
        <v>8</v>
      </c>
      <c r="G6073" s="38" t="str">
        <f>HYPERLINK("http://enext.ua/l0660080")</f>
        <v>http://enext.ua/l0660080</v>
      </c>
    </row>
    <row r="6074" spans="2:7" ht="22.5" outlineLevel="5" x14ac:dyDescent="0.2">
      <c r="B6074" s="14" t="s">
        <v>11438</v>
      </c>
      <c r="C6074" s="14" t="s">
        <v>11439</v>
      </c>
      <c r="D6074" s="14">
        <v>1</v>
      </c>
      <c r="E6074" s="15">
        <v>54.47</v>
      </c>
      <c r="F6074" s="16" t="s">
        <v>8</v>
      </c>
      <c r="G6074" s="38" t="str">
        <f>HYPERLINK("http://enext.ua/l0660082")</f>
        <v>http://enext.ua/l0660082</v>
      </c>
    </row>
    <row r="6075" spans="2:7" ht="11.25" outlineLevel="5" x14ac:dyDescent="0.2">
      <c r="B6075" s="14" t="s">
        <v>11440</v>
      </c>
      <c r="C6075" s="14" t="s">
        <v>11441</v>
      </c>
      <c r="D6075" s="14">
        <v>1</v>
      </c>
      <c r="E6075" s="15">
        <v>43.58</v>
      </c>
      <c r="F6075" s="16" t="s">
        <v>8</v>
      </c>
      <c r="G6075" s="14"/>
    </row>
    <row r="6076" spans="2:7" ht="11.25" outlineLevel="5" x14ac:dyDescent="0.2">
      <c r="B6076" s="14" t="s">
        <v>11442</v>
      </c>
      <c r="C6076" s="14" t="s">
        <v>11443</v>
      </c>
      <c r="D6076" s="14">
        <v>1</v>
      </c>
      <c r="E6076" s="15">
        <v>54.47</v>
      </c>
      <c r="F6076" s="16" t="s">
        <v>8</v>
      </c>
      <c r="G6076" s="38" t="str">
        <f>HYPERLINK("http://enext.ua/l0660084")</f>
        <v>http://enext.ua/l0660084</v>
      </c>
    </row>
    <row r="6077" spans="2:7" ht="11.25" outlineLevel="5" x14ac:dyDescent="0.2">
      <c r="B6077" s="14" t="s">
        <v>11444</v>
      </c>
      <c r="C6077" s="14" t="s">
        <v>11445</v>
      </c>
      <c r="D6077" s="14">
        <v>1</v>
      </c>
      <c r="E6077" s="15">
        <v>54.47</v>
      </c>
      <c r="F6077" s="16" t="s">
        <v>8</v>
      </c>
      <c r="G6077" s="38" t="str">
        <f>HYPERLINK("http://enext.ua/l0660073")</f>
        <v>http://enext.ua/l0660073</v>
      </c>
    </row>
    <row r="6078" spans="2:7" ht="22.5" outlineLevel="5" x14ac:dyDescent="0.2">
      <c r="B6078" s="14" t="s">
        <v>11446</v>
      </c>
      <c r="C6078" s="14" t="s">
        <v>11447</v>
      </c>
      <c r="D6078" s="14">
        <v>1</v>
      </c>
      <c r="E6078" s="15">
        <v>54.47</v>
      </c>
      <c r="F6078" s="16" t="s">
        <v>8</v>
      </c>
      <c r="G6078" s="38" t="str">
        <f>HYPERLINK("http://enext.ua/l0660083")</f>
        <v>http://enext.ua/l0660083</v>
      </c>
    </row>
    <row r="6079" spans="2:7" ht="11.25" outlineLevel="5" x14ac:dyDescent="0.2">
      <c r="B6079" s="14" t="s">
        <v>11448</v>
      </c>
      <c r="C6079" s="14" t="s">
        <v>11449</v>
      </c>
      <c r="D6079" s="14">
        <v>1</v>
      </c>
      <c r="E6079" s="15">
        <v>54.47</v>
      </c>
      <c r="F6079" s="16" t="s">
        <v>8</v>
      </c>
      <c r="G6079" s="38" t="str">
        <f>HYPERLINK("http://enext.ua/l0660074")</f>
        <v>http://enext.ua/l0660074</v>
      </c>
    </row>
    <row r="6080" spans="2:7" ht="11.25" outlineLevel="5" x14ac:dyDescent="0.2">
      <c r="B6080" s="14" t="s">
        <v>11450</v>
      </c>
      <c r="C6080" s="14" t="s">
        <v>11451</v>
      </c>
      <c r="D6080" s="14">
        <v>1</v>
      </c>
      <c r="E6080" s="15">
        <v>54.47</v>
      </c>
      <c r="F6080" s="16" t="s">
        <v>8</v>
      </c>
      <c r="G6080" s="14"/>
    </row>
    <row r="6081" spans="2:7" ht="11.25" outlineLevel="5" x14ac:dyDescent="0.2">
      <c r="B6081" s="14" t="s">
        <v>11452</v>
      </c>
      <c r="C6081" s="14" t="s">
        <v>11453</v>
      </c>
      <c r="D6081" s="14">
        <v>1</v>
      </c>
      <c r="E6081" s="15">
        <v>54.47</v>
      </c>
      <c r="F6081" s="16" t="s">
        <v>8</v>
      </c>
      <c r="G6081" s="38" t="str">
        <f>HYPERLINK("http://enext.ua/l0660072")</f>
        <v>http://enext.ua/l0660072</v>
      </c>
    </row>
    <row r="6082" spans="2:7" ht="11.25" outlineLevel="5" x14ac:dyDescent="0.2">
      <c r="B6082" s="14" t="s">
        <v>11454</v>
      </c>
      <c r="C6082" s="14" t="s">
        <v>11455</v>
      </c>
      <c r="D6082" s="14">
        <v>1</v>
      </c>
      <c r="E6082" s="15">
        <v>43.58</v>
      </c>
      <c r="F6082" s="16" t="s">
        <v>8</v>
      </c>
      <c r="G6082" s="38" t="str">
        <f>HYPERLINK("http://enext.ua/l0660087")</f>
        <v>http://enext.ua/l0660087</v>
      </c>
    </row>
    <row r="6083" spans="2:7" ht="11.25" outlineLevel="5" x14ac:dyDescent="0.2">
      <c r="B6083" s="14" t="s">
        <v>11456</v>
      </c>
      <c r="C6083" s="14" t="s">
        <v>11457</v>
      </c>
      <c r="D6083" s="14">
        <v>1</v>
      </c>
      <c r="E6083" s="15">
        <v>43.58</v>
      </c>
      <c r="F6083" s="16" t="s">
        <v>8</v>
      </c>
      <c r="G6083" s="38" t="str">
        <f>HYPERLINK("http://enext.ua/l0660086")</f>
        <v>http://enext.ua/l0660086</v>
      </c>
    </row>
    <row r="6084" spans="2:7" ht="11.25" outlineLevel="5" x14ac:dyDescent="0.2">
      <c r="B6084" s="14" t="s">
        <v>11458</v>
      </c>
      <c r="C6084" s="14" t="s">
        <v>11459</v>
      </c>
      <c r="D6084" s="14">
        <v>1</v>
      </c>
      <c r="E6084" s="15">
        <v>54.47</v>
      </c>
      <c r="F6084" s="16" t="s">
        <v>8</v>
      </c>
      <c r="G6084" s="38" t="str">
        <f>HYPERLINK("http://enext.ua/l0660071")</f>
        <v>http://enext.ua/l0660071</v>
      </c>
    </row>
    <row r="6085" spans="2:7" ht="12" outlineLevel="3" x14ac:dyDescent="0.2">
      <c r="B6085" s="10"/>
      <c r="C6085" s="36" t="s">
        <v>11460</v>
      </c>
      <c r="D6085" s="10"/>
      <c r="E6085" s="11"/>
      <c r="F6085" s="11"/>
      <c r="G6085" s="10"/>
    </row>
    <row r="6086" spans="2:7" ht="11.25" outlineLevel="4" x14ac:dyDescent="0.2">
      <c r="B6086" s="14" t="s">
        <v>11461</v>
      </c>
      <c r="C6086" s="14" t="s">
        <v>11462</v>
      </c>
      <c r="D6086" s="14">
        <v>1</v>
      </c>
      <c r="E6086" s="15">
        <v>170.98</v>
      </c>
      <c r="F6086" s="16" t="s">
        <v>8</v>
      </c>
      <c r="G6086" s="38" t="str">
        <f>HYPERLINK("http://enext.ua/l0012011")</f>
        <v>http://enext.ua/l0012011</v>
      </c>
    </row>
    <row r="6087" spans="2:7" ht="11.25" outlineLevel="4" x14ac:dyDescent="0.2">
      <c r="B6087" s="14" t="s">
        <v>11463</v>
      </c>
      <c r="C6087" s="14" t="s">
        <v>11464</v>
      </c>
      <c r="D6087" s="14">
        <v>1</v>
      </c>
      <c r="E6087" s="15">
        <v>198</v>
      </c>
      <c r="F6087" s="16" t="s">
        <v>8</v>
      </c>
      <c r="G6087" s="38" t="str">
        <f>HYPERLINK("http://enext.ua/l0012012")</f>
        <v>http://enext.ua/l0012012</v>
      </c>
    </row>
    <row r="6088" spans="2:7" ht="11.25" outlineLevel="4" x14ac:dyDescent="0.2">
      <c r="B6088" s="14" t="s">
        <v>11465</v>
      </c>
      <c r="C6088" s="14" t="s">
        <v>11466</v>
      </c>
      <c r="D6088" s="14">
        <v>1</v>
      </c>
      <c r="E6088" s="15">
        <v>179.83</v>
      </c>
      <c r="F6088" s="16" t="s">
        <v>8</v>
      </c>
      <c r="G6088" s="14"/>
    </row>
    <row r="6089" spans="2:7" ht="11.25" outlineLevel="4" x14ac:dyDescent="0.2">
      <c r="B6089" s="14" t="s">
        <v>11467</v>
      </c>
      <c r="C6089" s="14" t="s">
        <v>11468</v>
      </c>
      <c r="D6089" s="14">
        <v>1</v>
      </c>
      <c r="E6089" s="15">
        <v>136.19999999999999</v>
      </c>
      <c r="F6089" s="16" t="s">
        <v>8</v>
      </c>
      <c r="G6089" s="38" t="str">
        <f>HYPERLINK("http://enext.ua/l0012001")</f>
        <v>http://enext.ua/l0012001</v>
      </c>
    </row>
    <row r="6090" spans="2:7" ht="11.25" outlineLevel="4" x14ac:dyDescent="0.2">
      <c r="B6090" s="14" t="s">
        <v>11469</v>
      </c>
      <c r="C6090" s="14" t="s">
        <v>11470</v>
      </c>
      <c r="D6090" s="14">
        <v>1</v>
      </c>
      <c r="E6090" s="15">
        <v>449.79</v>
      </c>
      <c r="F6090" s="16" t="s">
        <v>8</v>
      </c>
      <c r="G6090" s="14"/>
    </row>
    <row r="6091" spans="2:7" ht="12" outlineLevel="2" x14ac:dyDescent="0.2">
      <c r="B6091" s="8"/>
      <c r="C6091" s="35" t="s">
        <v>11471</v>
      </c>
      <c r="D6091" s="8"/>
      <c r="E6091" s="9"/>
      <c r="F6091" s="9"/>
      <c r="G6091" s="8"/>
    </row>
    <row r="6092" spans="2:7" ht="12" outlineLevel="3" x14ac:dyDescent="0.2">
      <c r="B6092" s="10"/>
      <c r="C6092" s="36" t="s">
        <v>11472</v>
      </c>
      <c r="D6092" s="10"/>
      <c r="E6092" s="11"/>
      <c r="F6092" s="11"/>
      <c r="G6092" s="10"/>
    </row>
    <row r="6093" spans="2:7" ht="12" outlineLevel="4" x14ac:dyDescent="0.2">
      <c r="B6093" s="12"/>
      <c r="C6093" s="37" t="s">
        <v>11473</v>
      </c>
      <c r="D6093" s="12"/>
      <c r="E6093" s="13"/>
      <c r="F6093" s="13"/>
      <c r="G6093" s="12"/>
    </row>
    <row r="6094" spans="2:7" ht="11.25" outlineLevel="5" x14ac:dyDescent="0.2">
      <c r="B6094" s="14" t="s">
        <v>11474</v>
      </c>
      <c r="C6094" s="14" t="s">
        <v>11475</v>
      </c>
      <c r="D6094" s="14">
        <v>1</v>
      </c>
      <c r="E6094" s="15">
        <v>43.73</v>
      </c>
      <c r="F6094" s="16" t="s">
        <v>8</v>
      </c>
      <c r="G6094" s="38" t="str">
        <f>HYPERLINK("http://enext.ua/l0650607")</f>
        <v>http://enext.ua/l0650607</v>
      </c>
    </row>
    <row r="6095" spans="2:7" ht="11.25" outlineLevel="5" x14ac:dyDescent="0.2">
      <c r="B6095" s="14" t="s">
        <v>11476</v>
      </c>
      <c r="C6095" s="14" t="s">
        <v>11477</v>
      </c>
      <c r="D6095" s="14">
        <v>1</v>
      </c>
      <c r="E6095" s="15">
        <v>43.73</v>
      </c>
      <c r="F6095" s="16" t="s">
        <v>8</v>
      </c>
      <c r="G6095" s="38" t="str">
        <f>HYPERLINK("http://enext.ua/l0650608")</f>
        <v>http://enext.ua/l0650608</v>
      </c>
    </row>
    <row r="6096" spans="2:7" ht="11.25" outlineLevel="5" x14ac:dyDescent="0.2">
      <c r="B6096" s="14" t="s">
        <v>11478</v>
      </c>
      <c r="C6096" s="14" t="s">
        <v>11479</v>
      </c>
      <c r="D6096" s="14">
        <v>1</v>
      </c>
      <c r="E6096" s="15">
        <v>45.59</v>
      </c>
      <c r="F6096" s="16" t="s">
        <v>8</v>
      </c>
      <c r="G6096" s="38" t="str">
        <f>HYPERLINK("http://enext.ua/l0650605")</f>
        <v>http://enext.ua/l0650605</v>
      </c>
    </row>
    <row r="6097" spans="2:7" ht="11.25" outlineLevel="5" x14ac:dyDescent="0.2">
      <c r="B6097" s="14" t="s">
        <v>11480</v>
      </c>
      <c r="C6097" s="14" t="s">
        <v>11481</v>
      </c>
      <c r="D6097" s="14">
        <v>1</v>
      </c>
      <c r="E6097" s="15">
        <v>45.59</v>
      </c>
      <c r="F6097" s="16" t="s">
        <v>8</v>
      </c>
      <c r="G6097" s="38" t="str">
        <f>HYPERLINK("http://enext.ua/l0650606")</f>
        <v>http://enext.ua/l0650606</v>
      </c>
    </row>
    <row r="6098" spans="2:7" ht="11.25" outlineLevel="5" x14ac:dyDescent="0.2">
      <c r="B6098" s="14" t="s">
        <v>11482</v>
      </c>
      <c r="C6098" s="14" t="s">
        <v>11483</v>
      </c>
      <c r="D6098" s="14">
        <v>1</v>
      </c>
      <c r="E6098" s="15">
        <v>58.64</v>
      </c>
      <c r="F6098" s="16" t="s">
        <v>8</v>
      </c>
      <c r="G6098" s="38" t="str">
        <f>HYPERLINK("http://enext.ua/l0650603")</f>
        <v>http://enext.ua/l0650603</v>
      </c>
    </row>
    <row r="6099" spans="2:7" ht="11.25" outlineLevel="5" x14ac:dyDescent="0.2">
      <c r="B6099" s="14" t="s">
        <v>11484</v>
      </c>
      <c r="C6099" s="14" t="s">
        <v>11485</v>
      </c>
      <c r="D6099" s="14">
        <v>1</v>
      </c>
      <c r="E6099" s="15">
        <v>58.64</v>
      </c>
      <c r="F6099" s="16" t="s">
        <v>8</v>
      </c>
      <c r="G6099" s="38" t="str">
        <f>HYPERLINK("http://enext.ua/l0650604")</f>
        <v>http://enext.ua/l0650604</v>
      </c>
    </row>
    <row r="6100" spans="2:7" ht="11.25" outlineLevel="5" x14ac:dyDescent="0.2">
      <c r="B6100" s="14" t="s">
        <v>11486</v>
      </c>
      <c r="C6100" s="14" t="s">
        <v>11487</v>
      </c>
      <c r="D6100" s="14">
        <v>1</v>
      </c>
      <c r="E6100" s="15">
        <v>76.5</v>
      </c>
      <c r="F6100" s="16" t="s">
        <v>8</v>
      </c>
      <c r="G6100" s="38" t="str">
        <f>HYPERLINK("http://enext.ua/l0650601")</f>
        <v>http://enext.ua/l0650601</v>
      </c>
    </row>
    <row r="6101" spans="2:7" ht="11.25" outlineLevel="5" x14ac:dyDescent="0.2">
      <c r="B6101" s="14" t="s">
        <v>11488</v>
      </c>
      <c r="C6101" s="14" t="s">
        <v>11489</v>
      </c>
      <c r="D6101" s="14">
        <v>1</v>
      </c>
      <c r="E6101" s="15">
        <v>76.5</v>
      </c>
      <c r="F6101" s="16" t="s">
        <v>8</v>
      </c>
      <c r="G6101" s="38" t="str">
        <f>HYPERLINK("http://enext.ua/l0650602")</f>
        <v>http://enext.ua/l0650602</v>
      </c>
    </row>
    <row r="6102" spans="2:7" ht="11.25" outlineLevel="5" x14ac:dyDescent="0.2">
      <c r="B6102" s="14" t="s">
        <v>11490</v>
      </c>
      <c r="C6102" s="14" t="s">
        <v>11491</v>
      </c>
      <c r="D6102" s="14">
        <v>1</v>
      </c>
      <c r="E6102" s="15">
        <v>43</v>
      </c>
      <c r="F6102" s="16" t="s">
        <v>8</v>
      </c>
      <c r="G6102" s="38" t="str">
        <f>HYPERLINK("http://enext.ua/l0650609")</f>
        <v>http://enext.ua/l0650609</v>
      </c>
    </row>
    <row r="6103" spans="2:7" ht="11.25" outlineLevel="5" x14ac:dyDescent="0.2">
      <c r="B6103" s="14" t="s">
        <v>11492</v>
      </c>
      <c r="C6103" s="14" t="s">
        <v>11493</v>
      </c>
      <c r="D6103" s="14">
        <v>1</v>
      </c>
      <c r="E6103" s="15">
        <v>43</v>
      </c>
      <c r="F6103" s="16" t="s">
        <v>8</v>
      </c>
      <c r="G6103" s="38" t="str">
        <f>HYPERLINK("http://enext.ua/l0650610")</f>
        <v>http://enext.ua/l0650610</v>
      </c>
    </row>
    <row r="6104" spans="2:7" ht="11.25" outlineLevel="5" x14ac:dyDescent="0.2">
      <c r="B6104" s="14" t="s">
        <v>11494</v>
      </c>
      <c r="C6104" s="14" t="s">
        <v>11495</v>
      </c>
      <c r="D6104" s="14">
        <v>1</v>
      </c>
      <c r="E6104" s="15">
        <v>43</v>
      </c>
      <c r="F6104" s="16" t="s">
        <v>8</v>
      </c>
      <c r="G6104" s="14"/>
    </row>
    <row r="6105" spans="2:7" ht="11.25" outlineLevel="5" x14ac:dyDescent="0.2">
      <c r="B6105" s="14" t="s">
        <v>11496</v>
      </c>
      <c r="C6105" s="14" t="s">
        <v>11497</v>
      </c>
      <c r="D6105" s="14">
        <v>1</v>
      </c>
      <c r="E6105" s="15">
        <v>43</v>
      </c>
      <c r="F6105" s="16" t="s">
        <v>8</v>
      </c>
      <c r="G6105" s="14"/>
    </row>
    <row r="6106" spans="2:7" ht="11.25" outlineLevel="5" x14ac:dyDescent="0.2">
      <c r="B6106" s="14" t="s">
        <v>11498</v>
      </c>
      <c r="C6106" s="14" t="s">
        <v>11499</v>
      </c>
      <c r="D6106" s="14">
        <v>1</v>
      </c>
      <c r="E6106" s="15">
        <v>43</v>
      </c>
      <c r="F6106" s="16" t="s">
        <v>8</v>
      </c>
      <c r="G6106" s="38" t="str">
        <f>HYPERLINK("http://enext.ua/l0650611")</f>
        <v>http://enext.ua/l0650611</v>
      </c>
    </row>
    <row r="6107" spans="2:7" ht="11.25" outlineLevel="5" x14ac:dyDescent="0.2">
      <c r="B6107" s="14" t="s">
        <v>11500</v>
      </c>
      <c r="C6107" s="14" t="s">
        <v>11501</v>
      </c>
      <c r="D6107" s="14">
        <v>1</v>
      </c>
      <c r="E6107" s="15">
        <v>43</v>
      </c>
      <c r="F6107" s="16" t="s">
        <v>8</v>
      </c>
      <c r="G6107" s="38" t="str">
        <f>HYPERLINK("http://enext.ua/l0650612")</f>
        <v>http://enext.ua/l0650612</v>
      </c>
    </row>
    <row r="6108" spans="2:7" ht="11.25" outlineLevel="5" x14ac:dyDescent="0.2">
      <c r="B6108" s="14" t="s">
        <v>11502</v>
      </c>
      <c r="C6108" s="14" t="s">
        <v>11503</v>
      </c>
      <c r="D6108" s="14">
        <v>1</v>
      </c>
      <c r="E6108" s="15">
        <v>52.7</v>
      </c>
      <c r="F6108" s="16" t="s">
        <v>8</v>
      </c>
      <c r="G6108" s="38" t="str">
        <f>HYPERLINK("http://enext.ua/l0650618")</f>
        <v>http://enext.ua/l0650618</v>
      </c>
    </row>
    <row r="6109" spans="2:7" ht="11.25" outlineLevel="5" x14ac:dyDescent="0.2">
      <c r="B6109" s="14" t="s">
        <v>11504</v>
      </c>
      <c r="C6109" s="14" t="s">
        <v>11505</v>
      </c>
      <c r="D6109" s="14">
        <v>1</v>
      </c>
      <c r="E6109" s="15">
        <v>52.7</v>
      </c>
      <c r="F6109" s="16" t="s">
        <v>8</v>
      </c>
      <c r="G6109" s="38" t="str">
        <f>HYPERLINK("http://enext.ua/l0650619")</f>
        <v>http://enext.ua/l0650619</v>
      </c>
    </row>
    <row r="6110" spans="2:7" ht="11.25" outlineLevel="5" x14ac:dyDescent="0.2">
      <c r="B6110" s="14" t="s">
        <v>11506</v>
      </c>
      <c r="C6110" s="14" t="s">
        <v>11507</v>
      </c>
      <c r="D6110" s="14">
        <v>1</v>
      </c>
      <c r="E6110" s="15">
        <v>58.65</v>
      </c>
      <c r="F6110" s="16" t="s">
        <v>8</v>
      </c>
      <c r="G6110" s="38" t="str">
        <f>HYPERLINK("http://enext.ua/l0650617")</f>
        <v>http://enext.ua/l0650617</v>
      </c>
    </row>
    <row r="6111" spans="2:7" ht="11.25" outlineLevel="5" x14ac:dyDescent="0.2">
      <c r="B6111" s="14" t="s">
        <v>11508</v>
      </c>
      <c r="C6111" s="14" t="s">
        <v>11509</v>
      </c>
      <c r="D6111" s="14">
        <v>1</v>
      </c>
      <c r="E6111" s="15">
        <v>61.73</v>
      </c>
      <c r="F6111" s="16" t="s">
        <v>8</v>
      </c>
      <c r="G6111" s="38" t="str">
        <f>HYPERLINK("http://enext.ua/l0650615")</f>
        <v>http://enext.ua/l0650615</v>
      </c>
    </row>
    <row r="6112" spans="2:7" ht="11.25" outlineLevel="5" x14ac:dyDescent="0.2">
      <c r="B6112" s="14" t="s">
        <v>11510</v>
      </c>
      <c r="C6112" s="14" t="s">
        <v>11511</v>
      </c>
      <c r="D6112" s="14">
        <v>1</v>
      </c>
      <c r="E6112" s="15">
        <v>61.03</v>
      </c>
      <c r="F6112" s="16" t="s">
        <v>8</v>
      </c>
      <c r="G6112" s="38" t="str">
        <f>HYPERLINK("http://enext.ua/l0650616")</f>
        <v>http://enext.ua/l0650616</v>
      </c>
    </row>
    <row r="6113" spans="2:7" ht="11.25" outlineLevel="5" x14ac:dyDescent="0.2">
      <c r="B6113" s="14" t="s">
        <v>11512</v>
      </c>
      <c r="C6113" s="14" t="s">
        <v>11513</v>
      </c>
      <c r="D6113" s="14">
        <v>1</v>
      </c>
      <c r="E6113" s="15">
        <v>50.15</v>
      </c>
      <c r="F6113" s="16" t="s">
        <v>8</v>
      </c>
      <c r="G6113" s="38" t="str">
        <f>HYPERLINK("http://enext.ua/l0650613")</f>
        <v>http://enext.ua/l0650613</v>
      </c>
    </row>
    <row r="6114" spans="2:7" ht="11.25" outlineLevel="5" x14ac:dyDescent="0.2">
      <c r="B6114" s="14" t="s">
        <v>11514</v>
      </c>
      <c r="C6114" s="14" t="s">
        <v>11515</v>
      </c>
      <c r="D6114" s="14">
        <v>1</v>
      </c>
      <c r="E6114" s="15">
        <v>50.15</v>
      </c>
      <c r="F6114" s="16" t="s">
        <v>8</v>
      </c>
      <c r="G6114" s="38" t="str">
        <f>HYPERLINK("http://enext.ua/l0650614")</f>
        <v>http://enext.ua/l0650614</v>
      </c>
    </row>
    <row r="6115" spans="2:7" ht="11.25" outlineLevel="5" x14ac:dyDescent="0.2">
      <c r="B6115" s="14" t="s">
        <v>11516</v>
      </c>
      <c r="C6115" s="14" t="s">
        <v>11517</v>
      </c>
      <c r="D6115" s="14">
        <v>1</v>
      </c>
      <c r="E6115" s="15">
        <v>221</v>
      </c>
      <c r="F6115" s="16" t="s">
        <v>8</v>
      </c>
      <c r="G6115" s="38" t="str">
        <f>HYPERLINK("http://enext.ua/l0650620")</f>
        <v>http://enext.ua/l0650620</v>
      </c>
    </row>
    <row r="6116" spans="2:7" ht="11.25" outlineLevel="5" x14ac:dyDescent="0.2">
      <c r="B6116" s="14" t="s">
        <v>11518</v>
      </c>
      <c r="C6116" s="14" t="s">
        <v>11519</v>
      </c>
      <c r="D6116" s="14">
        <v>1</v>
      </c>
      <c r="E6116" s="15">
        <v>435.2</v>
      </c>
      <c r="F6116" s="16" t="s">
        <v>8</v>
      </c>
      <c r="G6116" s="38" t="str">
        <f>HYPERLINK("http://enext.ua/l0650621")</f>
        <v>http://enext.ua/l0650621</v>
      </c>
    </row>
    <row r="6117" spans="2:7" ht="12" outlineLevel="4" x14ac:dyDescent="0.2">
      <c r="B6117" s="12"/>
      <c r="C6117" s="37" t="s">
        <v>11520</v>
      </c>
      <c r="D6117" s="12"/>
      <c r="E6117" s="13"/>
      <c r="F6117" s="13"/>
      <c r="G6117" s="12"/>
    </row>
    <row r="6118" spans="2:7" ht="11.25" outlineLevel="5" x14ac:dyDescent="0.2">
      <c r="B6118" s="14" t="s">
        <v>11521</v>
      </c>
      <c r="C6118" s="14" t="s">
        <v>11522</v>
      </c>
      <c r="D6118" s="14">
        <v>1</v>
      </c>
      <c r="E6118" s="15">
        <v>70.78</v>
      </c>
      <c r="F6118" s="16" t="s">
        <v>8</v>
      </c>
      <c r="G6118" s="38" t="str">
        <f>HYPERLINK("http://enext.ua/l0650512")</f>
        <v>http://enext.ua/l0650512</v>
      </c>
    </row>
    <row r="6119" spans="2:7" ht="11.25" outlineLevel="5" x14ac:dyDescent="0.2">
      <c r="B6119" s="14" t="s">
        <v>11523</v>
      </c>
      <c r="C6119" s="14" t="s">
        <v>11524</v>
      </c>
      <c r="D6119" s="14">
        <v>1</v>
      </c>
      <c r="E6119" s="15">
        <v>70.78</v>
      </c>
      <c r="F6119" s="16" t="s">
        <v>8</v>
      </c>
      <c r="G6119" s="14"/>
    </row>
    <row r="6120" spans="2:7" ht="11.25" outlineLevel="5" x14ac:dyDescent="0.2">
      <c r="B6120" s="14" t="s">
        <v>11525</v>
      </c>
      <c r="C6120" s="14" t="s">
        <v>11526</v>
      </c>
      <c r="D6120" s="14">
        <v>1</v>
      </c>
      <c r="E6120" s="15">
        <v>94.93</v>
      </c>
      <c r="F6120" s="16" t="s">
        <v>8</v>
      </c>
      <c r="G6120" s="14"/>
    </row>
    <row r="6121" spans="2:7" ht="11.25" outlineLevel="5" x14ac:dyDescent="0.2">
      <c r="B6121" s="14" t="s">
        <v>11527</v>
      </c>
      <c r="C6121" s="14" t="s">
        <v>11528</v>
      </c>
      <c r="D6121" s="14">
        <v>1</v>
      </c>
      <c r="E6121" s="15">
        <v>99.93</v>
      </c>
      <c r="F6121" s="16" t="s">
        <v>8</v>
      </c>
      <c r="G6121" s="14"/>
    </row>
    <row r="6122" spans="2:7" ht="22.5" outlineLevel="5" x14ac:dyDescent="0.2">
      <c r="B6122" s="14" t="s">
        <v>11529</v>
      </c>
      <c r="C6122" s="14" t="s">
        <v>11530</v>
      </c>
      <c r="D6122" s="14">
        <v>1</v>
      </c>
      <c r="E6122" s="15">
        <v>122.1</v>
      </c>
      <c r="F6122" s="16" t="s">
        <v>8</v>
      </c>
      <c r="G6122" s="38" t="str">
        <f>HYPERLINK("http://enext.ua/l0650519")</f>
        <v>http://enext.ua/l0650519</v>
      </c>
    </row>
    <row r="6123" spans="2:7" ht="22.5" outlineLevel="5" x14ac:dyDescent="0.2">
      <c r="B6123" s="14" t="s">
        <v>11531</v>
      </c>
      <c r="C6123" s="14" t="s">
        <v>11532</v>
      </c>
      <c r="D6123" s="14">
        <v>1</v>
      </c>
      <c r="E6123" s="15">
        <v>178</v>
      </c>
      <c r="F6123" s="16" t="s">
        <v>8</v>
      </c>
      <c r="G6123" s="38" t="str">
        <f>HYPERLINK("http://enext.ua/l0650520")</f>
        <v>http://enext.ua/l0650520</v>
      </c>
    </row>
    <row r="6124" spans="2:7" ht="22.5" outlineLevel="5" x14ac:dyDescent="0.2">
      <c r="B6124" s="14" t="s">
        <v>11533</v>
      </c>
      <c r="C6124" s="14" t="s">
        <v>11534</v>
      </c>
      <c r="D6124" s="14">
        <v>1</v>
      </c>
      <c r="E6124" s="15">
        <v>510.19</v>
      </c>
      <c r="F6124" s="16" t="s">
        <v>8</v>
      </c>
      <c r="G6124" s="38" t="str">
        <f>HYPERLINK("http://enext.ua/l0650511")</f>
        <v>http://enext.ua/l0650511</v>
      </c>
    </row>
    <row r="6125" spans="2:7" ht="22.5" outlineLevel="5" x14ac:dyDescent="0.2">
      <c r="B6125" s="14" t="s">
        <v>11535</v>
      </c>
      <c r="C6125" s="14" t="s">
        <v>11536</v>
      </c>
      <c r="D6125" s="14">
        <v>1</v>
      </c>
      <c r="E6125" s="15">
        <v>200.48</v>
      </c>
      <c r="F6125" s="16" t="s">
        <v>8</v>
      </c>
      <c r="G6125" s="38" t="str">
        <f>HYPERLINK("http://enext.ua/l0650509")</f>
        <v>http://enext.ua/l0650509</v>
      </c>
    </row>
    <row r="6126" spans="2:7" ht="22.5" outlineLevel="5" x14ac:dyDescent="0.2">
      <c r="B6126" s="14" t="s">
        <v>11537</v>
      </c>
      <c r="C6126" s="14" t="s">
        <v>11538</v>
      </c>
      <c r="D6126" s="14">
        <v>1</v>
      </c>
      <c r="E6126" s="15">
        <v>532.4</v>
      </c>
      <c r="F6126" s="16" t="s">
        <v>8</v>
      </c>
      <c r="G6126" s="38" t="str">
        <f>HYPERLINK("http://enext.ua/l0650501")</f>
        <v>http://enext.ua/l0650501</v>
      </c>
    </row>
    <row r="6127" spans="2:7" ht="22.5" outlineLevel="5" x14ac:dyDescent="0.2">
      <c r="B6127" s="14" t="s">
        <v>11539</v>
      </c>
      <c r="C6127" s="14" t="s">
        <v>11540</v>
      </c>
      <c r="D6127" s="14">
        <v>1</v>
      </c>
      <c r="E6127" s="15">
        <v>344.8</v>
      </c>
      <c r="F6127" s="16" t="s">
        <v>8</v>
      </c>
      <c r="G6127" s="38" t="str">
        <f>HYPERLINK("http://enext.ua/l0650502")</f>
        <v>http://enext.ua/l0650502</v>
      </c>
    </row>
    <row r="6128" spans="2:7" ht="12" outlineLevel="4" x14ac:dyDescent="0.2">
      <c r="B6128" s="12"/>
      <c r="C6128" s="37" t="s">
        <v>11541</v>
      </c>
      <c r="D6128" s="12"/>
      <c r="E6128" s="13"/>
      <c r="F6128" s="13"/>
      <c r="G6128" s="12"/>
    </row>
    <row r="6129" spans="2:7" ht="22.5" outlineLevel="5" x14ac:dyDescent="0.2">
      <c r="B6129" s="14" t="s">
        <v>11542</v>
      </c>
      <c r="C6129" s="14" t="s">
        <v>11543</v>
      </c>
      <c r="D6129" s="14">
        <v>1</v>
      </c>
      <c r="E6129" s="15">
        <v>233.82</v>
      </c>
      <c r="F6129" s="16" t="s">
        <v>8</v>
      </c>
      <c r="G6129" s="14"/>
    </row>
    <row r="6130" spans="2:7" ht="22.5" outlineLevel="5" x14ac:dyDescent="0.2">
      <c r="B6130" s="14" t="s">
        <v>11544</v>
      </c>
      <c r="C6130" s="14" t="s">
        <v>11545</v>
      </c>
      <c r="D6130" s="14">
        <v>1</v>
      </c>
      <c r="E6130" s="15">
        <v>233.82</v>
      </c>
      <c r="F6130" s="16" t="s">
        <v>8</v>
      </c>
      <c r="G6130" s="38" t="str">
        <f>HYPERLINK("http://enext.ua/l0650523")</f>
        <v>http://enext.ua/l0650523</v>
      </c>
    </row>
    <row r="6131" spans="2:7" ht="22.5" outlineLevel="5" x14ac:dyDescent="0.2">
      <c r="B6131" s="14" t="s">
        <v>11546</v>
      </c>
      <c r="C6131" s="14" t="s">
        <v>11547</v>
      </c>
      <c r="D6131" s="14">
        <v>1</v>
      </c>
      <c r="E6131" s="15">
        <v>270.13</v>
      </c>
      <c r="F6131" s="16" t="s">
        <v>8</v>
      </c>
      <c r="G6131" s="14"/>
    </row>
    <row r="6132" spans="2:7" ht="22.5" outlineLevel="5" x14ac:dyDescent="0.2">
      <c r="B6132" s="14" t="s">
        <v>11548</v>
      </c>
      <c r="C6132" s="14" t="s">
        <v>11549</v>
      </c>
      <c r="D6132" s="14">
        <v>1</v>
      </c>
      <c r="E6132" s="15">
        <v>270.12</v>
      </c>
      <c r="F6132" s="16" t="s">
        <v>8</v>
      </c>
      <c r="G6132" s="38" t="str">
        <f>HYPERLINK("http://enext.ua/l0650527")</f>
        <v>http://enext.ua/l0650527</v>
      </c>
    </row>
    <row r="6133" spans="2:7" ht="22.5" outlineLevel="5" x14ac:dyDescent="0.2">
      <c r="B6133" s="14" t="s">
        <v>11550</v>
      </c>
      <c r="C6133" s="14" t="s">
        <v>11551</v>
      </c>
      <c r="D6133" s="14">
        <v>1</v>
      </c>
      <c r="E6133" s="15">
        <v>307.29000000000002</v>
      </c>
      <c r="F6133" s="16" t="s">
        <v>8</v>
      </c>
      <c r="G6133" s="14"/>
    </row>
    <row r="6134" spans="2:7" ht="22.5" outlineLevel="5" x14ac:dyDescent="0.2">
      <c r="B6134" s="14" t="s">
        <v>11552</v>
      </c>
      <c r="C6134" s="14" t="s">
        <v>11553</v>
      </c>
      <c r="D6134" s="14">
        <v>1</v>
      </c>
      <c r="E6134" s="15">
        <v>307.29000000000002</v>
      </c>
      <c r="F6134" s="16" t="s">
        <v>8</v>
      </c>
      <c r="G6134" s="38" t="str">
        <f>HYPERLINK("http://enext.ua/l0650531")</f>
        <v>http://enext.ua/l0650531</v>
      </c>
    </row>
    <row r="6135" spans="2:7" ht="12" outlineLevel="4" x14ac:dyDescent="0.2">
      <c r="B6135" s="12"/>
      <c r="C6135" s="37" t="s">
        <v>11554</v>
      </c>
      <c r="D6135" s="12"/>
      <c r="E6135" s="13"/>
      <c r="F6135" s="13"/>
      <c r="G6135" s="12"/>
    </row>
    <row r="6136" spans="2:7" ht="11.25" outlineLevel="5" x14ac:dyDescent="0.2">
      <c r="B6136" s="14" t="s">
        <v>11555</v>
      </c>
      <c r="C6136" s="14" t="s">
        <v>11556</v>
      </c>
      <c r="D6136" s="14">
        <v>1</v>
      </c>
      <c r="E6136" s="15">
        <v>63.64</v>
      </c>
      <c r="F6136" s="16" t="s">
        <v>8</v>
      </c>
      <c r="G6136" s="38" t="str">
        <f>HYPERLINK("http://enext.ua/l0650315")</f>
        <v>http://enext.ua/l0650315</v>
      </c>
    </row>
    <row r="6137" spans="2:7" ht="11.25" outlineLevel="5" x14ac:dyDescent="0.2">
      <c r="B6137" s="14" t="s">
        <v>11557</v>
      </c>
      <c r="C6137" s="14" t="s">
        <v>11558</v>
      </c>
      <c r="D6137" s="14">
        <v>1</v>
      </c>
      <c r="E6137" s="15">
        <v>63.64</v>
      </c>
      <c r="F6137" s="16" t="s">
        <v>8</v>
      </c>
      <c r="G6137" s="38" t="str">
        <f>HYPERLINK("http://enext.ua/l0650316")</f>
        <v>http://enext.ua/l0650316</v>
      </c>
    </row>
    <row r="6138" spans="2:7" ht="11.25" outlineLevel="5" x14ac:dyDescent="0.2">
      <c r="B6138" s="14" t="s">
        <v>11559</v>
      </c>
      <c r="C6138" s="14" t="s">
        <v>11560</v>
      </c>
      <c r="D6138" s="14">
        <v>1</v>
      </c>
      <c r="E6138" s="15">
        <v>54.55</v>
      </c>
      <c r="F6138" s="16" t="s">
        <v>8</v>
      </c>
      <c r="G6138" s="38" t="str">
        <f>HYPERLINK("http://enext.ua/l0650021")</f>
        <v>http://enext.ua/l0650021</v>
      </c>
    </row>
    <row r="6139" spans="2:7" ht="11.25" outlineLevel="5" x14ac:dyDescent="0.2">
      <c r="B6139" s="14" t="s">
        <v>11561</v>
      </c>
      <c r="C6139" s="14" t="s">
        <v>11562</v>
      </c>
      <c r="D6139" s="14">
        <v>1</v>
      </c>
      <c r="E6139" s="15">
        <v>54.55</v>
      </c>
      <c r="F6139" s="16" t="s">
        <v>8</v>
      </c>
      <c r="G6139" s="38" t="str">
        <f>HYPERLINK("http://enext.ua/l0650022")</f>
        <v>http://enext.ua/l0650022</v>
      </c>
    </row>
    <row r="6140" spans="2:7" ht="11.25" outlineLevel="5" x14ac:dyDescent="0.2">
      <c r="B6140" s="14" t="s">
        <v>11563</v>
      </c>
      <c r="C6140" s="14" t="s">
        <v>11564</v>
      </c>
      <c r="D6140" s="14">
        <v>1</v>
      </c>
      <c r="E6140" s="15">
        <v>72.73</v>
      </c>
      <c r="F6140" s="16" t="s">
        <v>8</v>
      </c>
      <c r="G6140" s="38" t="str">
        <f>HYPERLINK("http://enext.ua/l0650411")</f>
        <v>http://enext.ua/l0650411</v>
      </c>
    </row>
    <row r="6141" spans="2:7" ht="12" outlineLevel="3" x14ac:dyDescent="0.2">
      <c r="B6141" s="10"/>
      <c r="C6141" s="36" t="s">
        <v>11565</v>
      </c>
      <c r="D6141" s="10"/>
      <c r="E6141" s="11"/>
      <c r="F6141" s="11"/>
      <c r="G6141" s="10"/>
    </row>
    <row r="6142" spans="2:7" ht="12" outlineLevel="4" x14ac:dyDescent="0.2">
      <c r="B6142" s="12"/>
      <c r="C6142" s="37" t="s">
        <v>11566</v>
      </c>
      <c r="D6142" s="12"/>
      <c r="E6142" s="13"/>
      <c r="F6142" s="13"/>
      <c r="G6142" s="12"/>
    </row>
    <row r="6143" spans="2:7" ht="11.25" outlineLevel="5" x14ac:dyDescent="0.2">
      <c r="B6143" s="14" t="s">
        <v>11567</v>
      </c>
      <c r="C6143" s="14" t="s">
        <v>11568</v>
      </c>
      <c r="D6143" s="14">
        <v>1</v>
      </c>
      <c r="E6143" s="15">
        <v>4.55</v>
      </c>
      <c r="F6143" s="16" t="s">
        <v>8</v>
      </c>
      <c r="G6143" s="38" t="str">
        <f>HYPERLINK("http://enext.ua/0160001")</f>
        <v>http://enext.ua/0160001</v>
      </c>
    </row>
    <row r="6144" spans="2:7" ht="11.25" outlineLevel="5" x14ac:dyDescent="0.2">
      <c r="B6144" s="14" t="s">
        <v>11569</v>
      </c>
      <c r="C6144" s="14" t="s">
        <v>11570</v>
      </c>
      <c r="D6144" s="14">
        <v>1</v>
      </c>
      <c r="E6144" s="15">
        <v>4.55</v>
      </c>
      <c r="F6144" s="16" t="s">
        <v>8</v>
      </c>
      <c r="G6144" s="38" t="str">
        <f>HYPERLINK("http://enext.ua/0170001")</f>
        <v>http://enext.ua/0170001</v>
      </c>
    </row>
    <row r="6145" spans="2:7" ht="11.25" outlineLevel="5" x14ac:dyDescent="0.2">
      <c r="B6145" s="14" t="s">
        <v>11571</v>
      </c>
      <c r="C6145" s="14" t="s">
        <v>11572</v>
      </c>
      <c r="D6145" s="14">
        <v>1</v>
      </c>
      <c r="E6145" s="15">
        <v>5.46</v>
      </c>
      <c r="F6145" s="16" t="s">
        <v>8</v>
      </c>
      <c r="G6145" s="38" t="str">
        <f>HYPERLINK("http://enext.ua/0160002")</f>
        <v>http://enext.ua/0160002</v>
      </c>
    </row>
    <row r="6146" spans="2:7" ht="11.25" outlineLevel="5" x14ac:dyDescent="0.2">
      <c r="B6146" s="14" t="s">
        <v>11573</v>
      </c>
      <c r="C6146" s="14" t="s">
        <v>11574</v>
      </c>
      <c r="D6146" s="14">
        <v>1</v>
      </c>
      <c r="E6146" s="15">
        <v>6.37</v>
      </c>
      <c r="F6146" s="16" t="s">
        <v>8</v>
      </c>
      <c r="G6146" s="38" t="str">
        <f>HYPERLINK("http://enext.ua/0170003")</f>
        <v>http://enext.ua/0170003</v>
      </c>
    </row>
    <row r="6147" spans="2:7" ht="11.25" outlineLevel="5" x14ac:dyDescent="0.2">
      <c r="B6147" s="14" t="s">
        <v>11575</v>
      </c>
      <c r="C6147" s="14" t="s">
        <v>11576</v>
      </c>
      <c r="D6147" s="14">
        <v>1</v>
      </c>
      <c r="E6147" s="15">
        <v>10.88</v>
      </c>
      <c r="F6147" s="16" t="s">
        <v>8</v>
      </c>
      <c r="G6147" s="38" t="str">
        <f>HYPERLINK("http://enext.ua/0160004")</f>
        <v>http://enext.ua/0160004</v>
      </c>
    </row>
    <row r="6148" spans="2:7" ht="11.25" outlineLevel="5" x14ac:dyDescent="0.2">
      <c r="B6148" s="14" t="s">
        <v>11577</v>
      </c>
      <c r="C6148" s="14" t="s">
        <v>11578</v>
      </c>
      <c r="D6148" s="14">
        <v>1</v>
      </c>
      <c r="E6148" s="15">
        <v>10.88</v>
      </c>
      <c r="F6148" s="16" t="s">
        <v>8</v>
      </c>
      <c r="G6148" s="38" t="str">
        <f>HYPERLINK("http://enext.ua/0180003")</f>
        <v>http://enext.ua/0180003</v>
      </c>
    </row>
    <row r="6149" spans="2:7" ht="11.25" outlineLevel="5" x14ac:dyDescent="0.2">
      <c r="B6149" s="14" t="s">
        <v>11579</v>
      </c>
      <c r="C6149" s="14" t="s">
        <v>11580</v>
      </c>
      <c r="D6149" s="14">
        <v>1</v>
      </c>
      <c r="E6149" s="15">
        <v>12.73</v>
      </c>
      <c r="F6149" s="16" t="s">
        <v>8</v>
      </c>
      <c r="G6149" s="38" t="str">
        <f>HYPERLINK("http://enext.ua/0160009")</f>
        <v>http://enext.ua/0160009</v>
      </c>
    </row>
    <row r="6150" spans="2:7" ht="11.25" outlineLevel="5" x14ac:dyDescent="0.2">
      <c r="B6150" s="14" t="s">
        <v>11581</v>
      </c>
      <c r="C6150" s="14" t="s">
        <v>11582</v>
      </c>
      <c r="D6150" s="14">
        <v>1</v>
      </c>
      <c r="E6150" s="15">
        <v>18.2</v>
      </c>
      <c r="F6150" s="16" t="s">
        <v>8</v>
      </c>
      <c r="G6150" s="38" t="str">
        <f>HYPERLINK("http://enext.ua/0170009")</f>
        <v>http://enext.ua/0170009</v>
      </c>
    </row>
    <row r="6151" spans="2:7" ht="11.25" outlineLevel="5" x14ac:dyDescent="0.2">
      <c r="B6151" s="14" t="s">
        <v>11583</v>
      </c>
      <c r="C6151" s="14" t="s">
        <v>11584</v>
      </c>
      <c r="D6151" s="14">
        <v>1</v>
      </c>
      <c r="E6151" s="15">
        <v>5.46</v>
      </c>
      <c r="F6151" s="16" t="s">
        <v>8</v>
      </c>
      <c r="G6151" s="38" t="str">
        <f>HYPERLINK("http://enext.ua/l0190001")</f>
        <v>http://enext.ua/l0190001</v>
      </c>
    </row>
    <row r="6152" spans="2:7" ht="11.25" outlineLevel="5" x14ac:dyDescent="0.2">
      <c r="B6152" s="14" t="s">
        <v>11585</v>
      </c>
      <c r="C6152" s="14" t="s">
        <v>11586</v>
      </c>
      <c r="D6152" s="14">
        <v>1</v>
      </c>
      <c r="E6152" s="15">
        <v>5.46</v>
      </c>
      <c r="F6152" s="16" t="s">
        <v>8</v>
      </c>
      <c r="G6152" s="38" t="str">
        <f>HYPERLINK("http://enext.ua/l0200001")</f>
        <v>http://enext.ua/l0200001</v>
      </c>
    </row>
    <row r="6153" spans="2:7" ht="11.25" outlineLevel="5" x14ac:dyDescent="0.2">
      <c r="B6153" s="14" t="s">
        <v>11587</v>
      </c>
      <c r="C6153" s="14" t="s">
        <v>11588</v>
      </c>
      <c r="D6153" s="14">
        <v>1</v>
      </c>
      <c r="E6153" s="15">
        <v>5.46</v>
      </c>
      <c r="F6153" s="16" t="s">
        <v>8</v>
      </c>
      <c r="G6153" s="38" t="str">
        <f>HYPERLINK("http://enext.ua/l0210001")</f>
        <v>http://enext.ua/l0210001</v>
      </c>
    </row>
    <row r="6154" spans="2:7" ht="11.25" outlineLevel="5" x14ac:dyDescent="0.2">
      <c r="B6154" s="14" t="s">
        <v>11589</v>
      </c>
      <c r="C6154" s="14" t="s">
        <v>11590</v>
      </c>
      <c r="D6154" s="14">
        <v>1</v>
      </c>
      <c r="E6154" s="15">
        <v>6.37</v>
      </c>
      <c r="F6154" s="16" t="s">
        <v>8</v>
      </c>
      <c r="G6154" s="38" t="str">
        <f>HYPERLINK("http://enext.ua/l0190002")</f>
        <v>http://enext.ua/l0190002</v>
      </c>
    </row>
    <row r="6155" spans="2:7" ht="11.25" outlineLevel="5" x14ac:dyDescent="0.2">
      <c r="B6155" s="14" t="s">
        <v>11591</v>
      </c>
      <c r="C6155" s="14" t="s">
        <v>11592</v>
      </c>
      <c r="D6155" s="14">
        <v>1</v>
      </c>
      <c r="E6155" s="15">
        <v>6.37</v>
      </c>
      <c r="F6155" s="16" t="s">
        <v>8</v>
      </c>
      <c r="G6155" s="38" t="str">
        <f>HYPERLINK("http://enext.ua/l0200002")</f>
        <v>http://enext.ua/l0200002</v>
      </c>
    </row>
    <row r="6156" spans="2:7" ht="11.25" outlineLevel="5" x14ac:dyDescent="0.2">
      <c r="B6156" s="14" t="s">
        <v>11593</v>
      </c>
      <c r="C6156" s="14" t="s">
        <v>11594</v>
      </c>
      <c r="D6156" s="14">
        <v>1</v>
      </c>
      <c r="E6156" s="15">
        <v>6.37</v>
      </c>
      <c r="F6156" s="16" t="s">
        <v>8</v>
      </c>
      <c r="G6156" s="38" t="str">
        <f>HYPERLINK("http://enext.ua/l0210002")</f>
        <v>http://enext.ua/l0210002</v>
      </c>
    </row>
    <row r="6157" spans="2:7" ht="11.25" outlineLevel="5" x14ac:dyDescent="0.2">
      <c r="B6157" s="14" t="s">
        <v>11595</v>
      </c>
      <c r="C6157" s="14" t="s">
        <v>11596</v>
      </c>
      <c r="D6157" s="14">
        <v>1</v>
      </c>
      <c r="E6157" s="15">
        <v>12.73</v>
      </c>
      <c r="F6157" s="16" t="s">
        <v>8</v>
      </c>
      <c r="G6157" s="38" t="str">
        <f>HYPERLINK("http://enext.ua/l0190007")</f>
        <v>http://enext.ua/l0190007</v>
      </c>
    </row>
    <row r="6158" spans="2:7" ht="11.25" outlineLevel="5" x14ac:dyDescent="0.2">
      <c r="B6158" s="14" t="s">
        <v>11597</v>
      </c>
      <c r="C6158" s="14" t="s">
        <v>11598</v>
      </c>
      <c r="D6158" s="14">
        <v>1</v>
      </c>
      <c r="E6158" s="15">
        <v>7.28</v>
      </c>
      <c r="F6158" s="16" t="s">
        <v>8</v>
      </c>
      <c r="G6158" s="38" t="str">
        <f>HYPERLINK("http://enext.ua/l0230001")</f>
        <v>http://enext.ua/l0230001</v>
      </c>
    </row>
    <row r="6159" spans="2:7" ht="11.25" outlineLevel="5" x14ac:dyDescent="0.2">
      <c r="B6159" s="14" t="s">
        <v>11599</v>
      </c>
      <c r="C6159" s="14" t="s">
        <v>11600</v>
      </c>
      <c r="D6159" s="14">
        <v>1</v>
      </c>
      <c r="E6159" s="15">
        <v>16.36</v>
      </c>
      <c r="F6159" s="16" t="s">
        <v>8</v>
      </c>
      <c r="G6159" s="38" t="str">
        <f>HYPERLINK("http://enext.ua/l0230003")</f>
        <v>http://enext.ua/l0230003</v>
      </c>
    </row>
    <row r="6160" spans="2:7" ht="11.25" outlineLevel="5" x14ac:dyDescent="0.2">
      <c r="B6160" s="14" t="s">
        <v>11601</v>
      </c>
      <c r="C6160" s="14" t="s">
        <v>11602</v>
      </c>
      <c r="D6160" s="14">
        <v>1</v>
      </c>
      <c r="E6160" s="15">
        <v>16.36</v>
      </c>
      <c r="F6160" s="16" t="s">
        <v>8</v>
      </c>
      <c r="G6160" s="38" t="str">
        <f>HYPERLINK("http://enext.ua/l0220002")</f>
        <v>http://enext.ua/l0220002</v>
      </c>
    </row>
    <row r="6161" spans="2:7" ht="11.25" outlineLevel="5" x14ac:dyDescent="0.2">
      <c r="B6161" s="14" t="s">
        <v>11603</v>
      </c>
      <c r="C6161" s="14" t="s">
        <v>11604</v>
      </c>
      <c r="D6161" s="14">
        <v>1</v>
      </c>
      <c r="E6161" s="15">
        <v>18.2</v>
      </c>
      <c r="F6161" s="16" t="s">
        <v>8</v>
      </c>
      <c r="G6161" s="38" t="str">
        <f>HYPERLINK("http://enext.ua/l0230002")</f>
        <v>http://enext.ua/l0230002</v>
      </c>
    </row>
    <row r="6162" spans="2:7" ht="11.25" outlineLevel="5" x14ac:dyDescent="0.2">
      <c r="B6162" s="14" t="s">
        <v>11605</v>
      </c>
      <c r="C6162" s="14" t="s">
        <v>11606</v>
      </c>
      <c r="D6162" s="14">
        <v>1</v>
      </c>
      <c r="E6162" s="15">
        <v>18.2</v>
      </c>
      <c r="F6162" s="16" t="s">
        <v>8</v>
      </c>
      <c r="G6162" s="38" t="str">
        <f>HYPERLINK("http://enext.ua/l0240002")</f>
        <v>http://enext.ua/l0240002</v>
      </c>
    </row>
    <row r="6163" spans="2:7" ht="11.25" outlineLevel="5" x14ac:dyDescent="0.2">
      <c r="B6163" s="14" t="s">
        <v>11607</v>
      </c>
      <c r="C6163" s="14" t="s">
        <v>11608</v>
      </c>
      <c r="D6163" s="14">
        <v>1</v>
      </c>
      <c r="E6163" s="15">
        <v>177.29</v>
      </c>
      <c r="F6163" s="16" t="s">
        <v>8</v>
      </c>
      <c r="G6163" s="38" t="str">
        <f>HYPERLINK("http://enext.ua/l0380003")</f>
        <v>http://enext.ua/l0380003</v>
      </c>
    </row>
    <row r="6164" spans="2:7" ht="11.25" outlineLevel="5" x14ac:dyDescent="0.2">
      <c r="B6164" s="14" t="s">
        <v>11609</v>
      </c>
      <c r="C6164" s="14" t="s">
        <v>11610</v>
      </c>
      <c r="D6164" s="14">
        <v>1</v>
      </c>
      <c r="E6164" s="15">
        <v>218.15</v>
      </c>
      <c r="F6164" s="16" t="s">
        <v>8</v>
      </c>
      <c r="G6164" s="38" t="str">
        <f>HYPERLINK("http://enext.ua/l0380002")</f>
        <v>http://enext.ua/l0380002</v>
      </c>
    </row>
    <row r="6165" spans="2:7" ht="11.25" outlineLevel="5" x14ac:dyDescent="0.2">
      <c r="B6165" s="14" t="s">
        <v>11611</v>
      </c>
      <c r="C6165" s="14" t="s">
        <v>11612</v>
      </c>
      <c r="D6165" s="14">
        <v>1</v>
      </c>
      <c r="E6165" s="15">
        <v>11.82</v>
      </c>
      <c r="F6165" s="16" t="s">
        <v>8</v>
      </c>
      <c r="G6165" s="38" t="str">
        <f>HYPERLINK("http://enext.ua/l0330001")</f>
        <v>http://enext.ua/l0330001</v>
      </c>
    </row>
    <row r="6166" spans="2:7" ht="11.25" outlineLevel="5" x14ac:dyDescent="0.2">
      <c r="B6166" s="14" t="s">
        <v>11613</v>
      </c>
      <c r="C6166" s="14" t="s">
        <v>11614</v>
      </c>
      <c r="D6166" s="14">
        <v>1</v>
      </c>
      <c r="E6166" s="15">
        <v>11.82</v>
      </c>
      <c r="F6166" s="16" t="s">
        <v>8</v>
      </c>
      <c r="G6166" s="38" t="str">
        <f>HYPERLINK("http://enext.ua/l0340001")</f>
        <v>http://enext.ua/l0340001</v>
      </c>
    </row>
    <row r="6167" spans="2:7" ht="22.5" outlineLevel="5" x14ac:dyDescent="0.2">
      <c r="B6167" s="14" t="s">
        <v>11615</v>
      </c>
      <c r="C6167" s="14" t="s">
        <v>11616</v>
      </c>
      <c r="D6167" s="14">
        <v>1</v>
      </c>
      <c r="E6167" s="15">
        <v>12.73</v>
      </c>
      <c r="F6167" s="16" t="s">
        <v>8</v>
      </c>
      <c r="G6167" s="38" t="str">
        <f>HYPERLINK("http://enext.ua/l0330002")</f>
        <v>http://enext.ua/l0330002</v>
      </c>
    </row>
    <row r="6168" spans="2:7" ht="22.5" outlineLevel="5" x14ac:dyDescent="0.2">
      <c r="B6168" s="14" t="s">
        <v>11617</v>
      </c>
      <c r="C6168" s="14" t="s">
        <v>11618</v>
      </c>
      <c r="D6168" s="14">
        <v>1</v>
      </c>
      <c r="E6168" s="15">
        <v>11.82</v>
      </c>
      <c r="F6168" s="16" t="s">
        <v>8</v>
      </c>
      <c r="G6168" s="38" t="str">
        <f>HYPERLINK("http://enext.ua/l0640001")</f>
        <v>http://enext.ua/l0640001</v>
      </c>
    </row>
    <row r="6169" spans="2:7" ht="11.25" outlineLevel="5" x14ac:dyDescent="0.2">
      <c r="B6169" s="14" t="s">
        <v>11619</v>
      </c>
      <c r="C6169" s="14" t="s">
        <v>11620</v>
      </c>
      <c r="D6169" s="14">
        <v>1</v>
      </c>
      <c r="E6169" s="15">
        <v>12.73</v>
      </c>
      <c r="F6169" s="16" t="s">
        <v>8</v>
      </c>
      <c r="G6169" s="38" t="str">
        <f>HYPERLINK("http://enext.ua/l0640003")</f>
        <v>http://enext.ua/l0640003</v>
      </c>
    </row>
    <row r="6170" spans="2:7" ht="11.25" outlineLevel="5" x14ac:dyDescent="0.2">
      <c r="B6170" s="14" t="s">
        <v>11621</v>
      </c>
      <c r="C6170" s="14" t="s">
        <v>11622</v>
      </c>
      <c r="D6170" s="14">
        <v>1</v>
      </c>
      <c r="E6170" s="15">
        <v>9.99</v>
      </c>
      <c r="F6170" s="16" t="s">
        <v>8</v>
      </c>
      <c r="G6170" s="38" t="str">
        <f>HYPERLINK("http://enext.ua/l0300001")</f>
        <v>http://enext.ua/l0300001</v>
      </c>
    </row>
    <row r="6171" spans="2:7" ht="11.25" outlineLevel="5" x14ac:dyDescent="0.2">
      <c r="B6171" s="14" t="s">
        <v>11623</v>
      </c>
      <c r="C6171" s="14" t="s">
        <v>11624</v>
      </c>
      <c r="D6171" s="14">
        <v>1</v>
      </c>
      <c r="E6171" s="15">
        <v>7.28</v>
      </c>
      <c r="F6171" s="16" t="s">
        <v>8</v>
      </c>
      <c r="G6171" s="38" t="str">
        <f>HYPERLINK("http://enext.ua/l0310001")</f>
        <v>http://enext.ua/l0310001</v>
      </c>
    </row>
    <row r="6172" spans="2:7" ht="22.5" outlineLevel="5" x14ac:dyDescent="0.2">
      <c r="B6172" s="14" t="s">
        <v>11625</v>
      </c>
      <c r="C6172" s="14" t="s">
        <v>11626</v>
      </c>
      <c r="D6172" s="14">
        <v>1</v>
      </c>
      <c r="E6172" s="15">
        <v>7.28</v>
      </c>
      <c r="F6172" s="16" t="s">
        <v>8</v>
      </c>
      <c r="G6172" s="38" t="str">
        <f>HYPERLINK("http://enext.ua/l0310003")</f>
        <v>http://enext.ua/l0310003</v>
      </c>
    </row>
    <row r="6173" spans="2:7" ht="22.5" outlineLevel="5" x14ac:dyDescent="0.2">
      <c r="B6173" s="14" t="s">
        <v>11627</v>
      </c>
      <c r="C6173" s="14" t="s">
        <v>11628</v>
      </c>
      <c r="D6173" s="14">
        <v>1</v>
      </c>
      <c r="E6173" s="15">
        <v>10.69</v>
      </c>
      <c r="F6173" s="16" t="s">
        <v>8</v>
      </c>
      <c r="G6173" s="38" t="str">
        <f>HYPERLINK("http://enext.ua/l0320003")</f>
        <v>http://enext.ua/l0320003</v>
      </c>
    </row>
    <row r="6174" spans="2:7" ht="22.5" outlineLevel="5" x14ac:dyDescent="0.2">
      <c r="B6174" s="14" t="s">
        <v>11629</v>
      </c>
      <c r="C6174" s="14" t="s">
        <v>11630</v>
      </c>
      <c r="D6174" s="14">
        <v>1</v>
      </c>
      <c r="E6174" s="15">
        <v>9.09</v>
      </c>
      <c r="F6174" s="16" t="s">
        <v>8</v>
      </c>
      <c r="G6174" s="38" t="str">
        <f>HYPERLINK("http://enext.ua/l0310005")</f>
        <v>http://enext.ua/l0310005</v>
      </c>
    </row>
    <row r="6175" spans="2:7" ht="22.5" outlineLevel="5" x14ac:dyDescent="0.2">
      <c r="B6175" s="14" t="s">
        <v>11631</v>
      </c>
      <c r="C6175" s="14" t="s">
        <v>11632</v>
      </c>
      <c r="D6175" s="14">
        <v>1</v>
      </c>
      <c r="E6175" s="15">
        <v>19.98</v>
      </c>
      <c r="F6175" s="16" t="s">
        <v>8</v>
      </c>
      <c r="G6175" s="38" t="str">
        <f>HYPERLINK("http://enext.ua/l0300007")</f>
        <v>http://enext.ua/l0300007</v>
      </c>
    </row>
    <row r="6176" spans="2:7" ht="11.25" outlineLevel="5" x14ac:dyDescent="0.2">
      <c r="B6176" s="14" t="s">
        <v>11633</v>
      </c>
      <c r="C6176" s="14" t="s">
        <v>11634</v>
      </c>
      <c r="D6176" s="14">
        <v>1</v>
      </c>
      <c r="E6176" s="15">
        <v>9.99</v>
      </c>
      <c r="F6176" s="16" t="s">
        <v>8</v>
      </c>
      <c r="G6176" s="38" t="str">
        <f>HYPERLINK("http://enext.ua/l0320002")</f>
        <v>http://enext.ua/l0320002</v>
      </c>
    </row>
    <row r="6177" spans="2:7" ht="22.5" outlineLevel="5" x14ac:dyDescent="0.2">
      <c r="B6177" s="14" t="s">
        <v>11635</v>
      </c>
      <c r="C6177" s="14" t="s">
        <v>11636</v>
      </c>
      <c r="D6177" s="14">
        <v>1</v>
      </c>
      <c r="E6177" s="15">
        <v>10.69</v>
      </c>
      <c r="F6177" s="16" t="s">
        <v>8</v>
      </c>
      <c r="G6177" s="38" t="str">
        <f>HYPERLINK("http://enext.ua/l0320004")</f>
        <v>http://enext.ua/l0320004</v>
      </c>
    </row>
    <row r="6178" spans="2:7" ht="22.5" outlineLevel="5" x14ac:dyDescent="0.2">
      <c r="B6178" s="14" t="s">
        <v>11637</v>
      </c>
      <c r="C6178" s="14" t="s">
        <v>11638</v>
      </c>
      <c r="D6178" s="14">
        <v>1</v>
      </c>
      <c r="E6178" s="15">
        <v>12.73</v>
      </c>
      <c r="F6178" s="16" t="s">
        <v>8</v>
      </c>
      <c r="G6178" s="38" t="str">
        <f>HYPERLINK("http://enext.ua/l0290006")</f>
        <v>http://enext.ua/l0290006</v>
      </c>
    </row>
    <row r="6179" spans="2:7" ht="11.25" outlineLevel="5" x14ac:dyDescent="0.2">
      <c r="B6179" s="14" t="s">
        <v>11639</v>
      </c>
      <c r="C6179" s="14" t="s">
        <v>11640</v>
      </c>
      <c r="D6179" s="14">
        <v>1</v>
      </c>
      <c r="E6179" s="15">
        <v>13.64</v>
      </c>
      <c r="F6179" s="16" t="s">
        <v>8</v>
      </c>
      <c r="G6179" s="38" t="str">
        <f>HYPERLINK("http://enext.ua/l0290004")</f>
        <v>http://enext.ua/l0290004</v>
      </c>
    </row>
    <row r="6180" spans="2:7" ht="22.5" outlineLevel="5" x14ac:dyDescent="0.2">
      <c r="B6180" s="14" t="s">
        <v>11641</v>
      </c>
      <c r="C6180" s="14" t="s">
        <v>11642</v>
      </c>
      <c r="D6180" s="14">
        <v>1</v>
      </c>
      <c r="E6180" s="15">
        <v>12.73</v>
      </c>
      <c r="F6180" s="16" t="s">
        <v>8</v>
      </c>
      <c r="G6180" s="38" t="str">
        <f>HYPERLINK("http://enext.ua/l0350006")</f>
        <v>http://enext.ua/l0350006</v>
      </c>
    </row>
    <row r="6181" spans="2:7" ht="22.5" outlineLevel="5" x14ac:dyDescent="0.2">
      <c r="B6181" s="14" t="s">
        <v>11643</v>
      </c>
      <c r="C6181" s="14" t="s">
        <v>11644</v>
      </c>
      <c r="D6181" s="14">
        <v>1</v>
      </c>
      <c r="E6181" s="15">
        <v>12.73</v>
      </c>
      <c r="F6181" s="16" t="s">
        <v>8</v>
      </c>
      <c r="G6181" s="38" t="str">
        <f>HYPERLINK("http://enext.ua/l0360007")</f>
        <v>http://enext.ua/l0360007</v>
      </c>
    </row>
    <row r="6182" spans="2:7" ht="22.5" outlineLevel="5" x14ac:dyDescent="0.2">
      <c r="B6182" s="14" t="s">
        <v>11645</v>
      </c>
      <c r="C6182" s="14" t="s">
        <v>11646</v>
      </c>
      <c r="D6182" s="14">
        <v>1</v>
      </c>
      <c r="E6182" s="15">
        <v>13.62</v>
      </c>
      <c r="F6182" s="16" t="s">
        <v>8</v>
      </c>
      <c r="G6182" s="38" t="str">
        <f>HYPERLINK("http://enext.ua/l0350003")</f>
        <v>http://enext.ua/l0350003</v>
      </c>
    </row>
    <row r="6183" spans="2:7" ht="22.5" outlineLevel="5" x14ac:dyDescent="0.2">
      <c r="B6183" s="14" t="s">
        <v>11647</v>
      </c>
      <c r="C6183" s="14" t="s">
        <v>11648</v>
      </c>
      <c r="D6183" s="14">
        <v>1</v>
      </c>
      <c r="E6183" s="15">
        <v>13.62</v>
      </c>
      <c r="F6183" s="16" t="s">
        <v>8</v>
      </c>
      <c r="G6183" s="38" t="str">
        <f>HYPERLINK("http://enext.ua/l0360003")</f>
        <v>http://enext.ua/l0360003</v>
      </c>
    </row>
    <row r="6184" spans="2:7" ht="22.5" outlineLevel="5" x14ac:dyDescent="0.2">
      <c r="B6184" s="14" t="s">
        <v>11649</v>
      </c>
      <c r="C6184" s="14" t="s">
        <v>11650</v>
      </c>
      <c r="D6184" s="14">
        <v>1</v>
      </c>
      <c r="E6184" s="15">
        <v>18.2</v>
      </c>
      <c r="F6184" s="16" t="s">
        <v>8</v>
      </c>
      <c r="G6184" s="38" t="str">
        <f>HYPERLINK("http://enext.ua/l0350004")</f>
        <v>http://enext.ua/l0350004</v>
      </c>
    </row>
    <row r="6185" spans="2:7" ht="22.5" outlineLevel="5" x14ac:dyDescent="0.2">
      <c r="B6185" s="14" t="s">
        <v>11651</v>
      </c>
      <c r="C6185" s="14" t="s">
        <v>11652</v>
      </c>
      <c r="D6185" s="14">
        <v>1</v>
      </c>
      <c r="E6185" s="15">
        <v>18.2</v>
      </c>
      <c r="F6185" s="16" t="s">
        <v>8</v>
      </c>
      <c r="G6185" s="38" t="str">
        <f>HYPERLINK("http://enext.ua/l0360004")</f>
        <v>http://enext.ua/l0360004</v>
      </c>
    </row>
    <row r="6186" spans="2:7" ht="11.25" outlineLevel="5" x14ac:dyDescent="0.2">
      <c r="B6186" s="14" t="s">
        <v>11653</v>
      </c>
      <c r="C6186" s="14" t="s">
        <v>11654</v>
      </c>
      <c r="D6186" s="14">
        <v>1</v>
      </c>
      <c r="E6186" s="15">
        <v>12.73</v>
      </c>
      <c r="F6186" s="16" t="s">
        <v>8</v>
      </c>
      <c r="G6186" s="38" t="str">
        <f>HYPERLINK("http://enext.ua/l0360006")</f>
        <v>http://enext.ua/l0360006</v>
      </c>
    </row>
    <row r="6187" spans="2:7" ht="22.5" outlineLevel="5" x14ac:dyDescent="0.2">
      <c r="B6187" s="14" t="s">
        <v>11655</v>
      </c>
      <c r="C6187" s="14" t="s">
        <v>11656</v>
      </c>
      <c r="D6187" s="14">
        <v>1</v>
      </c>
      <c r="E6187" s="15">
        <v>12.73</v>
      </c>
      <c r="F6187" s="16" t="s">
        <v>8</v>
      </c>
      <c r="G6187" s="38" t="str">
        <f>HYPERLINK("http://enext.ua/l0360008")</f>
        <v>http://enext.ua/l0360008</v>
      </c>
    </row>
    <row r="6188" spans="2:7" ht="11.25" outlineLevel="5" x14ac:dyDescent="0.2">
      <c r="B6188" s="14" t="s">
        <v>11657</v>
      </c>
      <c r="C6188" s="14" t="s">
        <v>11658</v>
      </c>
      <c r="D6188" s="14">
        <v>1</v>
      </c>
      <c r="E6188" s="15">
        <v>40.92</v>
      </c>
      <c r="F6188" s="16" t="s">
        <v>8</v>
      </c>
      <c r="G6188" s="38" t="str">
        <f>HYPERLINK("http://enext.ua/l0350002")</f>
        <v>http://enext.ua/l0350002</v>
      </c>
    </row>
    <row r="6189" spans="2:7" ht="22.5" outlineLevel="5" x14ac:dyDescent="0.2">
      <c r="B6189" s="14" t="s">
        <v>11659</v>
      </c>
      <c r="C6189" s="14" t="s">
        <v>11660</v>
      </c>
      <c r="D6189" s="14">
        <v>1</v>
      </c>
      <c r="E6189" s="15">
        <v>8.18</v>
      </c>
      <c r="F6189" s="16" t="s">
        <v>8</v>
      </c>
      <c r="G6189" s="38" t="str">
        <f>HYPERLINK("http://enext.ua/l0260017")</f>
        <v>http://enext.ua/l0260017</v>
      </c>
    </row>
    <row r="6190" spans="2:7" ht="11.25" outlineLevel="5" x14ac:dyDescent="0.2">
      <c r="B6190" s="14" t="s">
        <v>11661</v>
      </c>
      <c r="C6190" s="14" t="s">
        <v>11662</v>
      </c>
      <c r="D6190" s="14">
        <v>1</v>
      </c>
      <c r="E6190" s="15">
        <v>9.09</v>
      </c>
      <c r="F6190" s="16" t="s">
        <v>8</v>
      </c>
      <c r="G6190" s="38" t="str">
        <f>HYPERLINK("http://enext.ua/l0250001")</f>
        <v>http://enext.ua/l0250001</v>
      </c>
    </row>
    <row r="6191" spans="2:7" ht="22.5" outlineLevel="5" x14ac:dyDescent="0.2">
      <c r="B6191" s="14" t="s">
        <v>11663</v>
      </c>
      <c r="C6191" s="14" t="s">
        <v>11664</v>
      </c>
      <c r="D6191" s="14">
        <v>1</v>
      </c>
      <c r="E6191" s="15">
        <v>10</v>
      </c>
      <c r="F6191" s="16" t="s">
        <v>8</v>
      </c>
      <c r="G6191" s="38" t="str">
        <f>HYPERLINK("http://enext.ua/l0250019")</f>
        <v>http://enext.ua/l0250019</v>
      </c>
    </row>
    <row r="6192" spans="2:7" ht="22.5" outlineLevel="5" x14ac:dyDescent="0.2">
      <c r="B6192" s="14" t="s">
        <v>11665</v>
      </c>
      <c r="C6192" s="14" t="s">
        <v>11666</v>
      </c>
      <c r="D6192" s="14">
        <v>1</v>
      </c>
      <c r="E6192" s="15">
        <v>10</v>
      </c>
      <c r="F6192" s="16" t="s">
        <v>8</v>
      </c>
      <c r="G6192" s="38" t="str">
        <f>HYPERLINK("http://enext.ua/l0260021")</f>
        <v>http://enext.ua/l0260021</v>
      </c>
    </row>
    <row r="6193" spans="2:7" ht="22.5" outlineLevel="5" x14ac:dyDescent="0.2">
      <c r="B6193" s="14" t="s">
        <v>11667</v>
      </c>
      <c r="C6193" s="14" t="s">
        <v>11668</v>
      </c>
      <c r="D6193" s="14">
        <v>1</v>
      </c>
      <c r="E6193" s="15">
        <v>16.37</v>
      </c>
      <c r="F6193" s="16" t="s">
        <v>8</v>
      </c>
      <c r="G6193" s="38" t="str">
        <f>HYPERLINK("http://enext.ua/l0250032")</f>
        <v>http://enext.ua/l0250032</v>
      </c>
    </row>
    <row r="6194" spans="2:7" ht="22.5" outlineLevel="5" x14ac:dyDescent="0.2">
      <c r="B6194" s="14" t="s">
        <v>11669</v>
      </c>
      <c r="C6194" s="14" t="s">
        <v>11670</v>
      </c>
      <c r="D6194" s="14">
        <v>1</v>
      </c>
      <c r="E6194" s="15">
        <v>16.37</v>
      </c>
      <c r="F6194" s="16" t="s">
        <v>8</v>
      </c>
      <c r="G6194" s="38" t="str">
        <f>HYPERLINK("http://enext.ua/l0260035")</f>
        <v>http://enext.ua/l0260035</v>
      </c>
    </row>
    <row r="6195" spans="2:7" ht="22.5" outlineLevel="5" x14ac:dyDescent="0.2">
      <c r="B6195" s="14" t="s">
        <v>11671</v>
      </c>
      <c r="C6195" s="14" t="s">
        <v>11672</v>
      </c>
      <c r="D6195" s="14">
        <v>1</v>
      </c>
      <c r="E6195" s="15">
        <v>17.28</v>
      </c>
      <c r="F6195" s="16" t="s">
        <v>8</v>
      </c>
      <c r="G6195" s="38" t="str">
        <f>HYPERLINK("http://enext.ua/l0250028")</f>
        <v>http://enext.ua/l0250028</v>
      </c>
    </row>
    <row r="6196" spans="2:7" ht="22.5" outlineLevel="5" x14ac:dyDescent="0.2">
      <c r="B6196" s="14" t="s">
        <v>11673</v>
      </c>
      <c r="C6196" s="14" t="s">
        <v>11674</v>
      </c>
      <c r="D6196" s="14">
        <v>1</v>
      </c>
      <c r="E6196" s="15">
        <v>17.28</v>
      </c>
      <c r="F6196" s="16" t="s">
        <v>8</v>
      </c>
      <c r="G6196" s="38" t="str">
        <f>HYPERLINK("http://enext.ua/l0260030")</f>
        <v>http://enext.ua/l0260030</v>
      </c>
    </row>
    <row r="6197" spans="2:7" ht="22.5" outlineLevel="5" x14ac:dyDescent="0.2">
      <c r="B6197" s="14" t="s">
        <v>11675</v>
      </c>
      <c r="C6197" s="14" t="s">
        <v>11676</v>
      </c>
      <c r="D6197" s="14">
        <v>1</v>
      </c>
      <c r="E6197" s="15">
        <v>18.18</v>
      </c>
      <c r="F6197" s="16" t="s">
        <v>8</v>
      </c>
      <c r="G6197" s="38" t="str">
        <f>HYPERLINK("http://enext.ua/l0250016")</f>
        <v>http://enext.ua/l0250016</v>
      </c>
    </row>
    <row r="6198" spans="2:7" ht="22.5" outlineLevel="5" x14ac:dyDescent="0.2">
      <c r="B6198" s="14" t="s">
        <v>11677</v>
      </c>
      <c r="C6198" s="14" t="s">
        <v>11678</v>
      </c>
      <c r="D6198" s="14">
        <v>1</v>
      </c>
      <c r="E6198" s="15">
        <v>18.18</v>
      </c>
      <c r="F6198" s="16" t="s">
        <v>8</v>
      </c>
      <c r="G6198" s="38" t="str">
        <f>HYPERLINK("http://enext.ua/l0250030")</f>
        <v>http://enext.ua/l0250030</v>
      </c>
    </row>
    <row r="6199" spans="2:7" ht="22.5" outlineLevel="5" x14ac:dyDescent="0.2">
      <c r="B6199" s="14" t="s">
        <v>11679</v>
      </c>
      <c r="C6199" s="14" t="s">
        <v>11680</v>
      </c>
      <c r="D6199" s="14">
        <v>1</v>
      </c>
      <c r="E6199" s="15">
        <v>18.18</v>
      </c>
      <c r="F6199" s="16" t="s">
        <v>8</v>
      </c>
      <c r="G6199" s="38" t="str">
        <f>HYPERLINK("http://enext.ua/l0260016")</f>
        <v>http://enext.ua/l0260016</v>
      </c>
    </row>
    <row r="6200" spans="2:7" ht="22.5" outlineLevel="5" x14ac:dyDescent="0.2">
      <c r="B6200" s="14" t="s">
        <v>11681</v>
      </c>
      <c r="C6200" s="14" t="s">
        <v>11682</v>
      </c>
      <c r="D6200" s="14">
        <v>1</v>
      </c>
      <c r="E6200" s="15">
        <v>18.18</v>
      </c>
      <c r="F6200" s="16" t="s">
        <v>8</v>
      </c>
      <c r="G6200" s="38" t="str">
        <f>HYPERLINK("http://enext.ua/l0260036")</f>
        <v>http://enext.ua/l0260036</v>
      </c>
    </row>
    <row r="6201" spans="2:7" ht="22.5" outlineLevel="5" x14ac:dyDescent="0.2">
      <c r="B6201" s="14" t="s">
        <v>11683</v>
      </c>
      <c r="C6201" s="14" t="s">
        <v>11684</v>
      </c>
      <c r="D6201" s="14">
        <v>1</v>
      </c>
      <c r="E6201" s="15">
        <v>13.64</v>
      </c>
      <c r="F6201" s="16" t="s">
        <v>8</v>
      </c>
      <c r="G6201" s="38" t="str">
        <f>HYPERLINK("http://enext.ua/l0260007")</f>
        <v>http://enext.ua/l0260007</v>
      </c>
    </row>
    <row r="6202" spans="2:7" ht="22.5" outlineLevel="5" x14ac:dyDescent="0.2">
      <c r="B6202" s="14" t="s">
        <v>11685</v>
      </c>
      <c r="C6202" s="14" t="s">
        <v>11686</v>
      </c>
      <c r="D6202" s="14">
        <v>1</v>
      </c>
      <c r="E6202" s="15">
        <v>15.46</v>
      </c>
      <c r="F6202" s="16" t="s">
        <v>8</v>
      </c>
      <c r="G6202" s="38" t="str">
        <f>HYPERLINK("http://enext.ua/l0260034")</f>
        <v>http://enext.ua/l0260034</v>
      </c>
    </row>
    <row r="6203" spans="2:7" ht="22.5" outlineLevel="5" x14ac:dyDescent="0.2">
      <c r="B6203" s="14" t="s">
        <v>11687</v>
      </c>
      <c r="C6203" s="14" t="s">
        <v>11688</v>
      </c>
      <c r="D6203" s="14">
        <v>1</v>
      </c>
      <c r="E6203" s="15">
        <v>16.37</v>
      </c>
      <c r="F6203" s="16" t="s">
        <v>8</v>
      </c>
      <c r="G6203" s="38" t="str">
        <f>HYPERLINK("http://enext.ua/l0260009")</f>
        <v>http://enext.ua/l0260009</v>
      </c>
    </row>
    <row r="6204" spans="2:7" ht="22.5" outlineLevel="5" x14ac:dyDescent="0.2">
      <c r="B6204" s="14" t="s">
        <v>11689</v>
      </c>
      <c r="C6204" s="14" t="s">
        <v>11690</v>
      </c>
      <c r="D6204" s="14">
        <v>1</v>
      </c>
      <c r="E6204" s="15">
        <v>22.72</v>
      </c>
      <c r="F6204" s="16" t="s">
        <v>8</v>
      </c>
      <c r="G6204" s="38" t="str">
        <f>HYPERLINK("http://enext.ua/l0260020")</f>
        <v>http://enext.ua/l0260020</v>
      </c>
    </row>
    <row r="6205" spans="2:7" ht="22.5" outlineLevel="5" x14ac:dyDescent="0.2">
      <c r="B6205" s="14" t="s">
        <v>11691</v>
      </c>
      <c r="C6205" s="14" t="s">
        <v>11692</v>
      </c>
      <c r="D6205" s="14">
        <v>1</v>
      </c>
      <c r="E6205" s="15">
        <v>25.46</v>
      </c>
      <c r="F6205" s="16" t="s">
        <v>8</v>
      </c>
      <c r="G6205" s="38" t="str">
        <f>HYPERLINK("http://enext.ua/l0250020")</f>
        <v>http://enext.ua/l0250020</v>
      </c>
    </row>
    <row r="6206" spans="2:7" ht="22.5" outlineLevel="5" x14ac:dyDescent="0.2">
      <c r="B6206" s="14" t="s">
        <v>11693</v>
      </c>
      <c r="C6206" s="14" t="s">
        <v>11694</v>
      </c>
      <c r="D6206" s="14">
        <v>1</v>
      </c>
      <c r="E6206" s="15">
        <v>25.46</v>
      </c>
      <c r="F6206" s="16" t="s">
        <v>8</v>
      </c>
      <c r="G6206" s="38" t="str">
        <f>HYPERLINK("http://enext.ua/l0260022")</f>
        <v>http://enext.ua/l0260022</v>
      </c>
    </row>
    <row r="6207" spans="2:7" ht="22.5" outlineLevel="5" x14ac:dyDescent="0.2">
      <c r="B6207" s="14" t="s">
        <v>11695</v>
      </c>
      <c r="C6207" s="14" t="s">
        <v>11696</v>
      </c>
      <c r="D6207" s="14">
        <v>1</v>
      </c>
      <c r="E6207" s="15">
        <v>13.64</v>
      </c>
      <c r="F6207" s="16" t="s">
        <v>8</v>
      </c>
      <c r="G6207" s="38" t="str">
        <f>HYPERLINK("http://enext.ua/l0250021")</f>
        <v>http://enext.ua/l0250021</v>
      </c>
    </row>
    <row r="6208" spans="2:7" ht="22.5" outlineLevel="5" x14ac:dyDescent="0.2">
      <c r="B6208" s="14" t="s">
        <v>11697</v>
      </c>
      <c r="C6208" s="14" t="s">
        <v>11698</v>
      </c>
      <c r="D6208" s="14">
        <v>1</v>
      </c>
      <c r="E6208" s="15">
        <v>13.64</v>
      </c>
      <c r="F6208" s="16" t="s">
        <v>8</v>
      </c>
      <c r="G6208" s="38" t="str">
        <f>HYPERLINK("http://enext.ua/l0260023")</f>
        <v>http://enext.ua/l0260023</v>
      </c>
    </row>
    <row r="6209" spans="2:7" ht="22.5" outlineLevel="5" x14ac:dyDescent="0.2">
      <c r="B6209" s="14" t="s">
        <v>11699</v>
      </c>
      <c r="C6209" s="14" t="s">
        <v>11700</v>
      </c>
      <c r="D6209" s="14">
        <v>1</v>
      </c>
      <c r="E6209" s="15">
        <v>14.55</v>
      </c>
      <c r="F6209" s="16" t="s">
        <v>8</v>
      </c>
      <c r="G6209" s="38" t="str">
        <f>HYPERLINK("http://enext.ua/l0250022")</f>
        <v>http://enext.ua/l0250022</v>
      </c>
    </row>
    <row r="6210" spans="2:7" ht="22.5" outlineLevel="5" x14ac:dyDescent="0.2">
      <c r="B6210" s="14" t="s">
        <v>11701</v>
      </c>
      <c r="C6210" s="14" t="s">
        <v>11702</v>
      </c>
      <c r="D6210" s="14">
        <v>1</v>
      </c>
      <c r="E6210" s="15">
        <v>14.55</v>
      </c>
      <c r="F6210" s="16" t="s">
        <v>8</v>
      </c>
      <c r="G6210" s="38" t="str">
        <f>HYPERLINK("http://enext.ua/l0260024")</f>
        <v>http://enext.ua/l0260024</v>
      </c>
    </row>
    <row r="6211" spans="2:7" ht="22.5" outlineLevel="5" x14ac:dyDescent="0.2">
      <c r="B6211" s="14" t="s">
        <v>11703</v>
      </c>
      <c r="C6211" s="14" t="s">
        <v>11704</v>
      </c>
      <c r="D6211" s="14">
        <v>1</v>
      </c>
      <c r="E6211" s="15">
        <v>28.18</v>
      </c>
      <c r="F6211" s="16" t="s">
        <v>8</v>
      </c>
      <c r="G6211" s="38" t="str">
        <f>HYPERLINK("http://enext.ua/l0250025")</f>
        <v>http://enext.ua/l0250025</v>
      </c>
    </row>
    <row r="6212" spans="2:7" ht="22.5" outlineLevel="5" x14ac:dyDescent="0.2">
      <c r="B6212" s="14" t="s">
        <v>11705</v>
      </c>
      <c r="C6212" s="14" t="s">
        <v>11706</v>
      </c>
      <c r="D6212" s="14">
        <v>1</v>
      </c>
      <c r="E6212" s="15">
        <v>28.18</v>
      </c>
      <c r="F6212" s="16" t="s">
        <v>8</v>
      </c>
      <c r="G6212" s="38" t="str">
        <f>HYPERLINK("http://enext.ua/l0260027")</f>
        <v>http://enext.ua/l0260027</v>
      </c>
    </row>
    <row r="6213" spans="2:7" ht="22.5" outlineLevel="5" x14ac:dyDescent="0.2">
      <c r="B6213" s="14" t="s">
        <v>11707</v>
      </c>
      <c r="C6213" s="14" t="s">
        <v>11708</v>
      </c>
      <c r="D6213" s="14">
        <v>1</v>
      </c>
      <c r="E6213" s="15">
        <v>141.78</v>
      </c>
      <c r="F6213" s="16" t="s">
        <v>8</v>
      </c>
      <c r="G6213" s="38" t="str">
        <f>HYPERLINK("http://enext.ua/l0260012")</f>
        <v>http://enext.ua/l0260012</v>
      </c>
    </row>
    <row r="6214" spans="2:7" ht="22.5" outlineLevel="5" x14ac:dyDescent="0.2">
      <c r="B6214" s="14" t="s">
        <v>11709</v>
      </c>
      <c r="C6214" s="14" t="s">
        <v>11710</v>
      </c>
      <c r="D6214" s="14">
        <v>1</v>
      </c>
      <c r="E6214" s="15">
        <v>146.36000000000001</v>
      </c>
      <c r="F6214" s="16" t="s">
        <v>8</v>
      </c>
      <c r="G6214" s="38" t="str">
        <f>HYPERLINK("http://enext.ua/l0260013")</f>
        <v>http://enext.ua/l0260013</v>
      </c>
    </row>
    <row r="6215" spans="2:7" ht="22.5" outlineLevel="5" x14ac:dyDescent="0.2">
      <c r="B6215" s="14" t="s">
        <v>11711</v>
      </c>
      <c r="C6215" s="14" t="s">
        <v>11712</v>
      </c>
      <c r="D6215" s="14">
        <v>1</v>
      </c>
      <c r="E6215" s="15">
        <v>271.85000000000002</v>
      </c>
      <c r="F6215" s="16" t="s">
        <v>8</v>
      </c>
      <c r="G6215" s="38" t="str">
        <f>HYPERLINK("http://enext.ua/l0260014")</f>
        <v>http://enext.ua/l0260014</v>
      </c>
    </row>
    <row r="6216" spans="2:7" ht="22.5" outlineLevel="5" x14ac:dyDescent="0.2">
      <c r="B6216" s="14" t="s">
        <v>11713</v>
      </c>
      <c r="C6216" s="14" t="s">
        <v>11714</v>
      </c>
      <c r="D6216" s="14">
        <v>1</v>
      </c>
      <c r="E6216" s="15">
        <v>312.95</v>
      </c>
      <c r="F6216" s="16" t="s">
        <v>8</v>
      </c>
      <c r="G6216" s="38" t="str">
        <f>HYPERLINK("http://enext.ua/l0260032")</f>
        <v>http://enext.ua/l0260032</v>
      </c>
    </row>
    <row r="6217" spans="2:7" ht="22.5" outlineLevel="5" x14ac:dyDescent="0.2">
      <c r="B6217" s="14" t="s">
        <v>11715</v>
      </c>
      <c r="C6217" s="14" t="s">
        <v>11716</v>
      </c>
      <c r="D6217" s="14">
        <v>1</v>
      </c>
      <c r="E6217" s="15">
        <v>363.36</v>
      </c>
      <c r="F6217" s="16" t="s">
        <v>8</v>
      </c>
      <c r="G6217" s="14"/>
    </row>
    <row r="6218" spans="2:7" ht="22.5" outlineLevel="5" x14ac:dyDescent="0.2">
      <c r="B6218" s="14" t="s">
        <v>11717</v>
      </c>
      <c r="C6218" s="14" t="s">
        <v>11718</v>
      </c>
      <c r="D6218" s="14">
        <v>1</v>
      </c>
      <c r="E6218" s="15">
        <v>420.99</v>
      </c>
      <c r="F6218" s="16" t="s">
        <v>8</v>
      </c>
      <c r="G6218" s="38" t="str">
        <f>HYPERLINK("http://enext.ua/l0250033")</f>
        <v>http://enext.ua/l0250033</v>
      </c>
    </row>
    <row r="6219" spans="2:7" ht="12" outlineLevel="4" x14ac:dyDescent="0.2">
      <c r="B6219" s="12"/>
      <c r="C6219" s="37" t="s">
        <v>11719</v>
      </c>
      <c r="D6219" s="12"/>
      <c r="E6219" s="13"/>
      <c r="F6219" s="13"/>
      <c r="G6219" s="12"/>
    </row>
    <row r="6220" spans="2:7" ht="22.5" outlineLevel="5" x14ac:dyDescent="0.2">
      <c r="B6220" s="14" t="s">
        <v>11720</v>
      </c>
      <c r="C6220" s="14" t="s">
        <v>11721</v>
      </c>
      <c r="D6220" s="14">
        <v>1</v>
      </c>
      <c r="E6220" s="15">
        <v>36.28</v>
      </c>
      <c r="F6220" s="16" t="s">
        <v>8</v>
      </c>
      <c r="G6220" s="14"/>
    </row>
    <row r="6221" spans="2:7" ht="22.5" outlineLevel="5" x14ac:dyDescent="0.2">
      <c r="B6221" s="14" t="s">
        <v>11722</v>
      </c>
      <c r="C6221" s="14" t="s">
        <v>11723</v>
      </c>
      <c r="D6221" s="14">
        <v>1</v>
      </c>
      <c r="E6221" s="15">
        <v>616.38</v>
      </c>
      <c r="F6221" s="16" t="s">
        <v>8</v>
      </c>
      <c r="G6221" s="14"/>
    </row>
    <row r="6222" spans="2:7" ht="12" outlineLevel="3" x14ac:dyDescent="0.2">
      <c r="B6222" s="10"/>
      <c r="C6222" s="36" t="s">
        <v>11724</v>
      </c>
      <c r="D6222" s="10"/>
      <c r="E6222" s="11"/>
      <c r="F6222" s="11"/>
      <c r="G6222" s="10"/>
    </row>
    <row r="6223" spans="2:7" ht="11.25" outlineLevel="4" x14ac:dyDescent="0.2">
      <c r="B6223" s="14" t="s">
        <v>11725</v>
      </c>
      <c r="C6223" s="14" t="s">
        <v>11726</v>
      </c>
      <c r="D6223" s="14">
        <v>10</v>
      </c>
      <c r="E6223" s="15">
        <v>17.47</v>
      </c>
      <c r="F6223" s="16" t="s">
        <v>8</v>
      </c>
      <c r="G6223" s="38" t="str">
        <f>HYPERLINK("http://enext.ua/l006013")</f>
        <v>http://enext.ua/l006013</v>
      </c>
    </row>
    <row r="6224" spans="2:7" ht="11.25" outlineLevel="4" x14ac:dyDescent="0.2">
      <c r="B6224" s="14" t="s">
        <v>11727</v>
      </c>
      <c r="C6224" s="14" t="s">
        <v>11728</v>
      </c>
      <c r="D6224" s="14">
        <v>1</v>
      </c>
      <c r="E6224" s="15">
        <v>14.03</v>
      </c>
      <c r="F6224" s="16" t="s">
        <v>8</v>
      </c>
      <c r="G6224" s="38" t="str">
        <f>HYPERLINK("http://enext.ua/l007034")</f>
        <v>http://enext.ua/l007034</v>
      </c>
    </row>
    <row r="6225" spans="2:7" ht="11.25" outlineLevel="4" x14ac:dyDescent="0.2">
      <c r="B6225" s="14" t="s">
        <v>11729</v>
      </c>
      <c r="C6225" s="14" t="s">
        <v>11730</v>
      </c>
      <c r="D6225" s="14">
        <v>1</v>
      </c>
      <c r="E6225" s="15">
        <v>14.72</v>
      </c>
      <c r="F6225" s="16" t="s">
        <v>8</v>
      </c>
      <c r="G6225" s="38" t="str">
        <f>HYPERLINK("http://enext.ua/l007020")</f>
        <v>http://enext.ua/l007020</v>
      </c>
    </row>
    <row r="6226" spans="2:7" ht="11.25" outlineLevel="4" x14ac:dyDescent="0.2">
      <c r="B6226" s="14" t="s">
        <v>11731</v>
      </c>
      <c r="C6226" s="14" t="s">
        <v>11732</v>
      </c>
      <c r="D6226" s="14">
        <v>10</v>
      </c>
      <c r="E6226" s="15">
        <v>31.08</v>
      </c>
      <c r="F6226" s="16" t="s">
        <v>8</v>
      </c>
      <c r="G6226" s="38" t="str">
        <f>HYPERLINK("http://enext.ua/l006018")</f>
        <v>http://enext.ua/l006018</v>
      </c>
    </row>
    <row r="6227" spans="2:7" ht="11.25" outlineLevel="4" x14ac:dyDescent="0.2">
      <c r="B6227" s="14" t="s">
        <v>11733</v>
      </c>
      <c r="C6227" s="14" t="s">
        <v>11734</v>
      </c>
      <c r="D6227" s="14">
        <v>1</v>
      </c>
      <c r="E6227" s="15">
        <v>42.9</v>
      </c>
      <c r="F6227" s="16" t="s">
        <v>8</v>
      </c>
      <c r="G6227" s="38" t="str">
        <f>HYPERLINK("http://enext.ua/l007021")</f>
        <v>http://enext.ua/l007021</v>
      </c>
    </row>
    <row r="6228" spans="2:7" ht="11.25" outlineLevel="4" x14ac:dyDescent="0.2">
      <c r="B6228" s="14" t="s">
        <v>11735</v>
      </c>
      <c r="C6228" s="14" t="s">
        <v>11736</v>
      </c>
      <c r="D6228" s="14">
        <v>1</v>
      </c>
      <c r="E6228" s="15">
        <v>12.47</v>
      </c>
      <c r="F6228" s="16" t="s">
        <v>8</v>
      </c>
      <c r="G6228" s="38" t="str">
        <f>HYPERLINK("http://enext.ua/l007028")</f>
        <v>http://enext.ua/l007028</v>
      </c>
    </row>
    <row r="6229" spans="2:7" ht="11.25" outlineLevel="4" x14ac:dyDescent="0.2">
      <c r="B6229" s="14" t="s">
        <v>11737</v>
      </c>
      <c r="C6229" s="14" t="s">
        <v>11738</v>
      </c>
      <c r="D6229" s="14">
        <v>1</v>
      </c>
      <c r="E6229" s="15">
        <v>42.9</v>
      </c>
      <c r="F6229" s="16" t="s">
        <v>8</v>
      </c>
      <c r="G6229" s="38" t="str">
        <f>HYPERLINK("http://enext.ua/l007022")</f>
        <v>http://enext.ua/l007022</v>
      </c>
    </row>
    <row r="6230" spans="2:7" ht="11.25" outlineLevel="4" x14ac:dyDescent="0.2">
      <c r="B6230" s="14" t="s">
        <v>11739</v>
      </c>
      <c r="C6230" s="14" t="s">
        <v>11740</v>
      </c>
      <c r="D6230" s="14">
        <v>1</v>
      </c>
      <c r="E6230" s="15">
        <v>23.79</v>
      </c>
      <c r="F6230" s="16" t="s">
        <v>8</v>
      </c>
      <c r="G6230" s="38" t="str">
        <f>HYPERLINK("http://enext.ua/l007023")</f>
        <v>http://enext.ua/l007023</v>
      </c>
    </row>
    <row r="6231" spans="2:7" ht="11.25" outlineLevel="4" x14ac:dyDescent="0.2">
      <c r="B6231" s="14" t="s">
        <v>11741</v>
      </c>
      <c r="C6231" s="14" t="s">
        <v>11742</v>
      </c>
      <c r="D6231" s="14">
        <v>1</v>
      </c>
      <c r="E6231" s="15">
        <v>29.29</v>
      </c>
      <c r="F6231" s="16" t="s">
        <v>8</v>
      </c>
      <c r="G6231" s="38" t="str">
        <f>HYPERLINK("http://enext.ua/l007024")</f>
        <v>http://enext.ua/l007024</v>
      </c>
    </row>
    <row r="6232" spans="2:7" ht="11.25" outlineLevel="4" x14ac:dyDescent="0.2">
      <c r="B6232" s="14" t="s">
        <v>11743</v>
      </c>
      <c r="C6232" s="14" t="s">
        <v>11744</v>
      </c>
      <c r="D6232" s="14">
        <v>1</v>
      </c>
      <c r="E6232" s="15">
        <v>47.03</v>
      </c>
      <c r="F6232" s="16" t="s">
        <v>8</v>
      </c>
      <c r="G6232" s="38" t="str">
        <f>HYPERLINK("http://enext.ua/l007025")</f>
        <v>http://enext.ua/l007025</v>
      </c>
    </row>
    <row r="6233" spans="2:7" ht="11.25" outlineLevel="4" x14ac:dyDescent="0.2">
      <c r="B6233" s="14" t="s">
        <v>11745</v>
      </c>
      <c r="C6233" s="14" t="s">
        <v>11746</v>
      </c>
      <c r="D6233" s="14">
        <v>1</v>
      </c>
      <c r="E6233" s="15">
        <v>11.99</v>
      </c>
      <c r="F6233" s="16" t="s">
        <v>8</v>
      </c>
      <c r="G6233" s="38" t="str">
        <f>HYPERLINK("http://enext.ua/l006001")</f>
        <v>http://enext.ua/l006001</v>
      </c>
    </row>
    <row r="6234" spans="2:7" ht="11.25" outlineLevel="4" x14ac:dyDescent="0.2">
      <c r="B6234" s="14" t="s">
        <v>11747</v>
      </c>
      <c r="C6234" s="14" t="s">
        <v>11748</v>
      </c>
      <c r="D6234" s="14">
        <v>1</v>
      </c>
      <c r="E6234" s="15">
        <v>26.95</v>
      </c>
      <c r="F6234" s="16" t="s">
        <v>8</v>
      </c>
      <c r="G6234" s="38" t="str">
        <f>HYPERLINK("http://enext.ua/l006002")</f>
        <v>http://enext.ua/l006002</v>
      </c>
    </row>
    <row r="6235" spans="2:7" ht="11.25" outlineLevel="4" x14ac:dyDescent="0.2">
      <c r="B6235" s="14" t="s">
        <v>11749</v>
      </c>
      <c r="C6235" s="14" t="s">
        <v>11750</v>
      </c>
      <c r="D6235" s="14">
        <v>1</v>
      </c>
      <c r="E6235" s="15">
        <v>31.63</v>
      </c>
      <c r="F6235" s="16" t="s">
        <v>8</v>
      </c>
      <c r="G6235" s="38" t="str">
        <f>HYPERLINK("http://enext.ua/l006004")</f>
        <v>http://enext.ua/l006004</v>
      </c>
    </row>
    <row r="6236" spans="2:7" ht="11.25" outlineLevel="4" x14ac:dyDescent="0.2">
      <c r="B6236" s="14" t="s">
        <v>11751</v>
      </c>
      <c r="C6236" s="14" t="s">
        <v>11752</v>
      </c>
      <c r="D6236" s="14">
        <v>1</v>
      </c>
      <c r="E6236" s="15">
        <v>19.940000000000001</v>
      </c>
      <c r="F6236" s="16" t="s">
        <v>8</v>
      </c>
      <c r="G6236" s="38" t="str">
        <f>HYPERLINK("http://enext.ua/l007019")</f>
        <v>http://enext.ua/l007019</v>
      </c>
    </row>
    <row r="6237" spans="2:7" ht="11.25" outlineLevel="4" x14ac:dyDescent="0.2">
      <c r="B6237" s="14" t="s">
        <v>11753</v>
      </c>
      <c r="C6237" s="14" t="s">
        <v>11754</v>
      </c>
      <c r="D6237" s="14">
        <v>1</v>
      </c>
      <c r="E6237" s="15">
        <v>32.450000000000003</v>
      </c>
      <c r="F6237" s="16" t="s">
        <v>8</v>
      </c>
      <c r="G6237" s="38" t="str">
        <f>HYPERLINK("http://enext.ua/l006005")</f>
        <v>http://enext.ua/l006005</v>
      </c>
    </row>
    <row r="6238" spans="2:7" ht="11.25" outlineLevel="4" x14ac:dyDescent="0.2">
      <c r="B6238" s="14" t="s">
        <v>11755</v>
      </c>
      <c r="C6238" s="14" t="s">
        <v>11756</v>
      </c>
      <c r="D6238" s="14">
        <v>1</v>
      </c>
      <c r="E6238" s="15">
        <v>77.55</v>
      </c>
      <c r="F6238" s="16" t="s">
        <v>8</v>
      </c>
      <c r="G6238" s="38" t="str">
        <f>HYPERLINK("http://enext.ua/l007027")</f>
        <v>http://enext.ua/l007027</v>
      </c>
    </row>
    <row r="6239" spans="2:7" ht="11.25" outlineLevel="4" x14ac:dyDescent="0.2">
      <c r="B6239" s="14" t="s">
        <v>11757</v>
      </c>
      <c r="C6239" s="14" t="s">
        <v>11758</v>
      </c>
      <c r="D6239" s="14">
        <v>1</v>
      </c>
      <c r="E6239" s="15">
        <v>37.54</v>
      </c>
      <c r="F6239" s="16" t="s">
        <v>8</v>
      </c>
      <c r="G6239" s="38" t="str">
        <f>HYPERLINK("http://enext.ua/l007026")</f>
        <v>http://enext.ua/l007026</v>
      </c>
    </row>
    <row r="6240" spans="2:7" ht="11.25" outlineLevel="4" x14ac:dyDescent="0.2">
      <c r="B6240" s="14" t="s">
        <v>11759</v>
      </c>
      <c r="C6240" s="14" t="s">
        <v>11760</v>
      </c>
      <c r="D6240" s="14">
        <v>1</v>
      </c>
      <c r="E6240" s="15">
        <v>23.62</v>
      </c>
      <c r="F6240" s="16" t="s">
        <v>8</v>
      </c>
      <c r="G6240" s="14"/>
    </row>
    <row r="6241" spans="2:7" ht="11.25" outlineLevel="4" x14ac:dyDescent="0.2">
      <c r="B6241" s="14" t="s">
        <v>11761</v>
      </c>
      <c r="C6241" s="14" t="s">
        <v>11762</v>
      </c>
      <c r="D6241" s="14">
        <v>1</v>
      </c>
      <c r="E6241" s="15">
        <v>45.9</v>
      </c>
      <c r="F6241" s="16" t="s">
        <v>8</v>
      </c>
      <c r="G6241" s="14"/>
    </row>
    <row r="6242" spans="2:7" ht="11.25" outlineLevel="4" x14ac:dyDescent="0.2">
      <c r="B6242" s="14" t="s">
        <v>11763</v>
      </c>
      <c r="C6242" s="14" t="s">
        <v>11764</v>
      </c>
      <c r="D6242" s="14">
        <v>1</v>
      </c>
      <c r="E6242" s="15">
        <v>43.62</v>
      </c>
      <c r="F6242" s="16" t="s">
        <v>8</v>
      </c>
      <c r="G6242" s="14"/>
    </row>
    <row r="6243" spans="2:7" ht="11.25" outlineLevel="4" x14ac:dyDescent="0.2">
      <c r="B6243" s="14" t="s">
        <v>11765</v>
      </c>
      <c r="C6243" s="14" t="s">
        <v>11766</v>
      </c>
      <c r="D6243" s="14">
        <v>1</v>
      </c>
      <c r="E6243" s="15">
        <v>43.62</v>
      </c>
      <c r="F6243" s="16" t="s">
        <v>8</v>
      </c>
      <c r="G6243" s="14"/>
    </row>
    <row r="6244" spans="2:7" ht="11.25" outlineLevel="4" x14ac:dyDescent="0.2">
      <c r="B6244" s="14" t="s">
        <v>11767</v>
      </c>
      <c r="C6244" s="14" t="s">
        <v>11768</v>
      </c>
      <c r="D6244" s="14">
        <v>1</v>
      </c>
      <c r="E6244" s="15">
        <v>8.18</v>
      </c>
      <c r="F6244" s="16" t="s">
        <v>8</v>
      </c>
      <c r="G6244" s="38" t="str">
        <f>HYPERLINK("http://enext.ua/l006022")</f>
        <v>http://enext.ua/l006022</v>
      </c>
    </row>
    <row r="6245" spans="2:7" ht="11.25" outlineLevel="4" x14ac:dyDescent="0.2">
      <c r="B6245" s="14" t="s">
        <v>11769</v>
      </c>
      <c r="C6245" s="14" t="s">
        <v>11770</v>
      </c>
      <c r="D6245" s="14">
        <v>1</v>
      </c>
      <c r="E6245" s="15">
        <v>14.03</v>
      </c>
      <c r="F6245" s="16" t="s">
        <v>8</v>
      </c>
      <c r="G6245" s="38" t="str">
        <f>HYPERLINK("http://enext.ua/l006020")</f>
        <v>http://enext.ua/l006020</v>
      </c>
    </row>
    <row r="6246" spans="2:7" ht="11.25" outlineLevel="4" x14ac:dyDescent="0.2">
      <c r="B6246" s="14" t="s">
        <v>11771</v>
      </c>
      <c r="C6246" s="14" t="s">
        <v>11772</v>
      </c>
      <c r="D6246" s="14">
        <v>1</v>
      </c>
      <c r="E6246" s="15">
        <v>9.09</v>
      </c>
      <c r="F6246" s="16" t="s">
        <v>8</v>
      </c>
      <c r="G6246" s="38" t="str">
        <f>HYPERLINK("http://enext.ua/l006008")</f>
        <v>http://enext.ua/l006008</v>
      </c>
    </row>
    <row r="6247" spans="2:7" ht="11.25" outlineLevel="4" x14ac:dyDescent="0.2">
      <c r="B6247" s="14" t="s">
        <v>11773</v>
      </c>
      <c r="C6247" s="14" t="s">
        <v>11774</v>
      </c>
      <c r="D6247" s="14">
        <v>1</v>
      </c>
      <c r="E6247" s="15">
        <v>9.09</v>
      </c>
      <c r="F6247" s="16" t="s">
        <v>8</v>
      </c>
      <c r="G6247" s="38" t="str">
        <f>HYPERLINK("http://enext.ua/l006007")</f>
        <v>http://enext.ua/l006007</v>
      </c>
    </row>
    <row r="6248" spans="2:7" ht="11.25" outlineLevel="4" x14ac:dyDescent="0.2">
      <c r="B6248" s="14" t="s">
        <v>11775</v>
      </c>
      <c r="C6248" s="14" t="s">
        <v>11776</v>
      </c>
      <c r="D6248" s="14">
        <v>1</v>
      </c>
      <c r="E6248" s="15">
        <v>17.05</v>
      </c>
      <c r="F6248" s="16" t="s">
        <v>8</v>
      </c>
      <c r="G6248" s="38" t="str">
        <f>HYPERLINK("http://enext.ua/l006006")</f>
        <v>http://enext.ua/l006006</v>
      </c>
    </row>
    <row r="6249" spans="2:7" ht="12" outlineLevel="3" x14ac:dyDescent="0.2">
      <c r="B6249" s="10"/>
      <c r="C6249" s="36" t="s">
        <v>11777</v>
      </c>
      <c r="D6249" s="10"/>
      <c r="E6249" s="11"/>
      <c r="F6249" s="11"/>
      <c r="G6249" s="10"/>
    </row>
    <row r="6250" spans="2:7" ht="11.25" outlineLevel="4" x14ac:dyDescent="0.2">
      <c r="B6250" s="14" t="s">
        <v>11778</v>
      </c>
      <c r="C6250" s="14" t="s">
        <v>11779</v>
      </c>
      <c r="D6250" s="14">
        <v>50</v>
      </c>
      <c r="E6250" s="15">
        <v>24.48</v>
      </c>
      <c r="F6250" s="16" t="s">
        <v>8</v>
      </c>
      <c r="G6250" s="38" t="str">
        <f>HYPERLINK("http://enext.ua/l004021")</f>
        <v>http://enext.ua/l004021</v>
      </c>
    </row>
    <row r="6251" spans="2:7" ht="11.25" outlineLevel="4" x14ac:dyDescent="0.2">
      <c r="B6251" s="14" t="s">
        <v>11780</v>
      </c>
      <c r="C6251" s="14" t="s">
        <v>11781</v>
      </c>
      <c r="D6251" s="14">
        <v>1</v>
      </c>
      <c r="E6251" s="15">
        <v>24.48</v>
      </c>
      <c r="F6251" s="16" t="s">
        <v>8</v>
      </c>
      <c r="G6251" s="38" t="str">
        <f>HYPERLINK("http://enext.ua/l004022")</f>
        <v>http://enext.ua/l004022</v>
      </c>
    </row>
    <row r="6252" spans="2:7" ht="11.25" outlineLevel="4" x14ac:dyDescent="0.2">
      <c r="B6252" s="14" t="s">
        <v>11782</v>
      </c>
      <c r="C6252" s="14" t="s">
        <v>11783</v>
      </c>
      <c r="D6252" s="14">
        <v>50</v>
      </c>
      <c r="E6252" s="15">
        <v>17.14</v>
      </c>
      <c r="F6252" s="16" t="s">
        <v>8</v>
      </c>
      <c r="G6252" s="38" t="str">
        <f>HYPERLINK("http://enext.ua/l004023")</f>
        <v>http://enext.ua/l004023</v>
      </c>
    </row>
    <row r="6253" spans="2:7" ht="11.25" outlineLevel="4" x14ac:dyDescent="0.2">
      <c r="B6253" s="14" t="s">
        <v>11784</v>
      </c>
      <c r="C6253" s="14" t="s">
        <v>11785</v>
      </c>
      <c r="D6253" s="14">
        <v>1</v>
      </c>
      <c r="E6253" s="15">
        <v>24.48</v>
      </c>
      <c r="F6253" s="16" t="s">
        <v>8</v>
      </c>
      <c r="G6253" s="38" t="str">
        <f>HYPERLINK("http://enext.ua/l004024")</f>
        <v>http://enext.ua/l004024</v>
      </c>
    </row>
    <row r="6254" spans="2:7" ht="11.25" outlineLevel="4" x14ac:dyDescent="0.2">
      <c r="B6254" s="14" t="s">
        <v>11786</v>
      </c>
      <c r="C6254" s="14" t="s">
        <v>11787</v>
      </c>
      <c r="D6254" s="14">
        <v>1</v>
      </c>
      <c r="E6254" s="15">
        <v>24.48</v>
      </c>
      <c r="F6254" s="16" t="s">
        <v>8</v>
      </c>
      <c r="G6254" s="38" t="str">
        <f>HYPERLINK("http://enext.ua/l004025")</f>
        <v>http://enext.ua/l004025</v>
      </c>
    </row>
    <row r="6255" spans="2:7" ht="11.25" outlineLevel="4" x14ac:dyDescent="0.2">
      <c r="B6255" s="14" t="s">
        <v>11788</v>
      </c>
      <c r="C6255" s="14" t="s">
        <v>11789</v>
      </c>
      <c r="D6255" s="14">
        <v>1</v>
      </c>
      <c r="E6255" s="15">
        <v>35.479999999999997</v>
      </c>
      <c r="F6255" s="16" t="s">
        <v>8</v>
      </c>
      <c r="G6255" s="38" t="str">
        <f>HYPERLINK("http://enext.ua/l004026")</f>
        <v>http://enext.ua/l004026</v>
      </c>
    </row>
    <row r="6256" spans="2:7" ht="11.25" outlineLevel="4" x14ac:dyDescent="0.2">
      <c r="B6256" s="14" t="s">
        <v>11790</v>
      </c>
      <c r="C6256" s="14" t="s">
        <v>11791</v>
      </c>
      <c r="D6256" s="14">
        <v>1</v>
      </c>
      <c r="E6256" s="15">
        <v>50.6</v>
      </c>
      <c r="F6256" s="16" t="s">
        <v>8</v>
      </c>
      <c r="G6256" s="38" t="str">
        <f>HYPERLINK("http://enext.ua/l004027")</f>
        <v>http://enext.ua/l004027</v>
      </c>
    </row>
    <row r="6257" spans="2:7" ht="11.25" outlineLevel="4" x14ac:dyDescent="0.2">
      <c r="B6257" s="14" t="s">
        <v>11792</v>
      </c>
      <c r="C6257" s="14" t="s">
        <v>11793</v>
      </c>
      <c r="D6257" s="14">
        <v>50</v>
      </c>
      <c r="E6257" s="15">
        <v>9</v>
      </c>
      <c r="F6257" s="16" t="s">
        <v>8</v>
      </c>
      <c r="G6257" s="38" t="str">
        <f>HYPERLINK("http://enext.ua/l004001")</f>
        <v>http://enext.ua/l004001</v>
      </c>
    </row>
    <row r="6258" spans="2:7" ht="11.25" outlineLevel="4" x14ac:dyDescent="0.2">
      <c r="B6258" s="14" t="s">
        <v>11794</v>
      </c>
      <c r="C6258" s="14" t="s">
        <v>11795</v>
      </c>
      <c r="D6258" s="14">
        <v>50</v>
      </c>
      <c r="E6258" s="15">
        <v>6.65</v>
      </c>
      <c r="F6258" s="16" t="s">
        <v>8</v>
      </c>
      <c r="G6258" s="38" t="str">
        <f>HYPERLINK("http://enext.ua/l004006")</f>
        <v>http://enext.ua/l004006</v>
      </c>
    </row>
    <row r="6259" spans="2:7" ht="11.25" outlineLevel="4" x14ac:dyDescent="0.2">
      <c r="B6259" s="14" t="s">
        <v>11796</v>
      </c>
      <c r="C6259" s="14" t="s">
        <v>11797</v>
      </c>
      <c r="D6259" s="14">
        <v>50</v>
      </c>
      <c r="E6259" s="15">
        <v>6.65</v>
      </c>
      <c r="F6259" s="16" t="s">
        <v>8</v>
      </c>
      <c r="G6259" s="38" t="str">
        <f>HYPERLINK("http://enext.ua/l004003")</f>
        <v>http://enext.ua/l004003</v>
      </c>
    </row>
    <row r="6260" spans="2:7" ht="11.25" outlineLevel="4" x14ac:dyDescent="0.2">
      <c r="B6260" s="14" t="s">
        <v>11798</v>
      </c>
      <c r="C6260" s="14" t="s">
        <v>11799</v>
      </c>
      <c r="D6260" s="14">
        <v>50</v>
      </c>
      <c r="E6260" s="15">
        <v>6.65</v>
      </c>
      <c r="F6260" s="16" t="s">
        <v>8</v>
      </c>
      <c r="G6260" s="38" t="str">
        <f>HYPERLINK("http://enext.ua/l004004")</f>
        <v>http://enext.ua/l004004</v>
      </c>
    </row>
    <row r="6261" spans="2:7" ht="11.25" outlineLevel="4" x14ac:dyDescent="0.2">
      <c r="B6261" s="14" t="s">
        <v>11800</v>
      </c>
      <c r="C6261" s="14" t="s">
        <v>11801</v>
      </c>
      <c r="D6261" s="14">
        <v>50</v>
      </c>
      <c r="E6261" s="15">
        <v>7.76</v>
      </c>
      <c r="F6261" s="16" t="s">
        <v>8</v>
      </c>
      <c r="G6261" s="38" t="str">
        <f>HYPERLINK("http://enext.ua/l004007")</f>
        <v>http://enext.ua/l004007</v>
      </c>
    </row>
    <row r="6262" spans="2:7" ht="11.25" outlineLevel="4" x14ac:dyDescent="0.2">
      <c r="B6262" s="14" t="s">
        <v>11802</v>
      </c>
      <c r="C6262" s="14" t="s">
        <v>11803</v>
      </c>
      <c r="D6262" s="14">
        <v>50</v>
      </c>
      <c r="E6262" s="15">
        <v>7.76</v>
      </c>
      <c r="F6262" s="16" t="s">
        <v>8</v>
      </c>
      <c r="G6262" s="38" t="str">
        <f>HYPERLINK("http://enext.ua/l004008")</f>
        <v>http://enext.ua/l004008</v>
      </c>
    </row>
    <row r="6263" spans="2:7" ht="11.25" outlineLevel="4" x14ac:dyDescent="0.2">
      <c r="B6263" s="14" t="s">
        <v>11804</v>
      </c>
      <c r="C6263" s="14" t="s">
        <v>11805</v>
      </c>
      <c r="D6263" s="14">
        <v>10</v>
      </c>
      <c r="E6263" s="15">
        <v>13.3</v>
      </c>
      <c r="F6263" s="16" t="s">
        <v>8</v>
      </c>
      <c r="G6263" s="38" t="str">
        <f>HYPERLINK("http://enext.ua/l004015")</f>
        <v>http://enext.ua/l004015</v>
      </c>
    </row>
    <row r="6264" spans="2:7" ht="11.25" outlineLevel="4" x14ac:dyDescent="0.2">
      <c r="B6264" s="14" t="s">
        <v>11806</v>
      </c>
      <c r="C6264" s="14" t="s">
        <v>11807</v>
      </c>
      <c r="D6264" s="14">
        <v>20</v>
      </c>
      <c r="E6264" s="15">
        <v>10.53</v>
      </c>
      <c r="F6264" s="16" t="s">
        <v>8</v>
      </c>
      <c r="G6264" s="38" t="str">
        <f>HYPERLINK("http://enext.ua/l004014")</f>
        <v>http://enext.ua/l004014</v>
      </c>
    </row>
    <row r="6265" spans="2:7" ht="11.25" outlineLevel="4" x14ac:dyDescent="0.2">
      <c r="B6265" s="14" t="s">
        <v>11808</v>
      </c>
      <c r="C6265" s="14" t="s">
        <v>11809</v>
      </c>
      <c r="D6265" s="14">
        <v>10</v>
      </c>
      <c r="E6265" s="15">
        <v>10.07</v>
      </c>
      <c r="F6265" s="16" t="s">
        <v>8</v>
      </c>
      <c r="G6265" s="38" t="str">
        <f>HYPERLINK("http://enext.ua/l004009")</f>
        <v>http://enext.ua/l004009</v>
      </c>
    </row>
    <row r="6266" spans="2:7" ht="11.25" outlineLevel="4" x14ac:dyDescent="0.2">
      <c r="B6266" s="14" t="s">
        <v>11810</v>
      </c>
      <c r="C6266" s="14" t="s">
        <v>11811</v>
      </c>
      <c r="D6266" s="14">
        <v>10</v>
      </c>
      <c r="E6266" s="15">
        <v>10.07</v>
      </c>
      <c r="F6266" s="16" t="s">
        <v>8</v>
      </c>
      <c r="G6266" s="38" t="str">
        <f>HYPERLINK("http://enext.ua/l004010")</f>
        <v>http://enext.ua/l004010</v>
      </c>
    </row>
    <row r="6267" spans="2:7" ht="11.25" outlineLevel="4" x14ac:dyDescent="0.2">
      <c r="B6267" s="14" t="s">
        <v>11812</v>
      </c>
      <c r="C6267" s="14" t="s">
        <v>11813</v>
      </c>
      <c r="D6267" s="14">
        <v>10</v>
      </c>
      <c r="E6267" s="15">
        <v>10.07</v>
      </c>
      <c r="F6267" s="16" t="s">
        <v>8</v>
      </c>
      <c r="G6267" s="38" t="str">
        <f>HYPERLINK("http://enext.ua/l004011")</f>
        <v>http://enext.ua/l004011</v>
      </c>
    </row>
    <row r="6268" spans="2:7" ht="11.25" outlineLevel="4" x14ac:dyDescent="0.2">
      <c r="B6268" s="14" t="s">
        <v>11814</v>
      </c>
      <c r="C6268" s="14" t="s">
        <v>11815</v>
      </c>
      <c r="D6268" s="14">
        <v>10</v>
      </c>
      <c r="E6268" s="15">
        <v>20</v>
      </c>
      <c r="F6268" s="16" t="s">
        <v>8</v>
      </c>
      <c r="G6268" s="38" t="str">
        <f>HYPERLINK("http://enext.ua/l004018")</f>
        <v>http://enext.ua/l004018</v>
      </c>
    </row>
    <row r="6269" spans="2:7" ht="11.25" outlineLevel="4" x14ac:dyDescent="0.2">
      <c r="B6269" s="14" t="s">
        <v>11816</v>
      </c>
      <c r="C6269" s="14" t="s">
        <v>11817</v>
      </c>
      <c r="D6269" s="14">
        <v>10</v>
      </c>
      <c r="E6269" s="15">
        <v>45.38</v>
      </c>
      <c r="F6269" s="16" t="s">
        <v>8</v>
      </c>
      <c r="G6269" s="38" t="str">
        <f>HYPERLINK("http://enext.ua/l004020")</f>
        <v>http://enext.ua/l004020</v>
      </c>
    </row>
    <row r="6270" spans="2:7" ht="12" outlineLevel="3" x14ac:dyDescent="0.2">
      <c r="B6270" s="10"/>
      <c r="C6270" s="36" t="s">
        <v>11818</v>
      </c>
      <c r="D6270" s="10"/>
      <c r="E6270" s="11"/>
      <c r="F6270" s="11"/>
      <c r="G6270" s="10"/>
    </row>
    <row r="6271" spans="2:7" ht="12" outlineLevel="4" x14ac:dyDescent="0.2">
      <c r="B6271" s="12"/>
      <c r="C6271" s="37" t="s">
        <v>11819</v>
      </c>
      <c r="D6271" s="12"/>
      <c r="E6271" s="13"/>
      <c r="F6271" s="13"/>
      <c r="G6271" s="12"/>
    </row>
    <row r="6272" spans="2:7" ht="11.25" outlineLevel="5" x14ac:dyDescent="0.2">
      <c r="B6272" s="14" t="s">
        <v>11820</v>
      </c>
      <c r="C6272" s="14" t="s">
        <v>11821</v>
      </c>
      <c r="D6272" s="14">
        <v>1</v>
      </c>
      <c r="E6272" s="15">
        <v>336.05</v>
      </c>
      <c r="F6272" s="16" t="s">
        <v>8</v>
      </c>
      <c r="G6272" s="38" t="str">
        <f>HYPERLINK("http://enext.ua/l0150002")</f>
        <v>http://enext.ua/l0150002</v>
      </c>
    </row>
    <row r="6273" spans="2:7" ht="11.25" outlineLevel="5" x14ac:dyDescent="0.2">
      <c r="B6273" s="14" t="s">
        <v>11822</v>
      </c>
      <c r="C6273" s="14" t="s">
        <v>11823</v>
      </c>
      <c r="D6273" s="14">
        <v>1</v>
      </c>
      <c r="E6273" s="15">
        <v>339.63</v>
      </c>
      <c r="F6273" s="16" t="s">
        <v>8</v>
      </c>
      <c r="G6273" s="38" t="str">
        <f>HYPERLINK("http://enext.ua/l0150004")</f>
        <v>http://enext.ua/l0150004</v>
      </c>
    </row>
    <row r="6274" spans="2:7" ht="11.25" outlineLevel="5" x14ac:dyDescent="0.2">
      <c r="B6274" s="14" t="s">
        <v>11824</v>
      </c>
      <c r="C6274" s="14" t="s">
        <v>11825</v>
      </c>
      <c r="D6274" s="14">
        <v>1</v>
      </c>
      <c r="E6274" s="15">
        <v>911.63</v>
      </c>
      <c r="F6274" s="16" t="s">
        <v>8</v>
      </c>
      <c r="G6274" s="38" t="str">
        <f>HYPERLINK("http://enext.ua/l0150007")</f>
        <v>http://enext.ua/l0150007</v>
      </c>
    </row>
    <row r="6275" spans="2:7" ht="11.25" outlineLevel="5" x14ac:dyDescent="0.2">
      <c r="B6275" s="14" t="s">
        <v>11826</v>
      </c>
      <c r="C6275" s="14" t="s">
        <v>11827</v>
      </c>
      <c r="D6275" s="14">
        <v>1</v>
      </c>
      <c r="E6275" s="15">
        <v>267.02999999999997</v>
      </c>
      <c r="F6275" s="16" t="s">
        <v>8</v>
      </c>
      <c r="G6275" s="38" t="str">
        <f>HYPERLINK("http://enext.ua/l0150005")</f>
        <v>http://enext.ua/l0150005</v>
      </c>
    </row>
    <row r="6276" spans="2:7" ht="11.25" outlineLevel="5" x14ac:dyDescent="0.2">
      <c r="B6276" s="14" t="s">
        <v>11828</v>
      </c>
      <c r="C6276" s="14" t="s">
        <v>11829</v>
      </c>
      <c r="D6276" s="14">
        <v>1</v>
      </c>
      <c r="E6276" s="15">
        <v>190</v>
      </c>
      <c r="F6276" s="16" t="s">
        <v>8</v>
      </c>
      <c r="G6276" s="38" t="str">
        <f>HYPERLINK("http://enext.ua/l0150006")</f>
        <v>http://enext.ua/l0150006</v>
      </c>
    </row>
    <row r="6277" spans="2:7" ht="11.25" outlineLevel="5" x14ac:dyDescent="0.2">
      <c r="B6277" s="14" t="s">
        <v>11830</v>
      </c>
      <c r="C6277" s="14" t="s">
        <v>11831</v>
      </c>
      <c r="D6277" s="14">
        <v>1</v>
      </c>
      <c r="E6277" s="15">
        <v>263.45</v>
      </c>
      <c r="F6277" s="16" t="s">
        <v>8</v>
      </c>
      <c r="G6277" s="38" t="str">
        <f>HYPERLINK("http://enext.ua/l0150003")</f>
        <v>http://enext.ua/l0150003</v>
      </c>
    </row>
    <row r="6278" spans="2:7" ht="11.25" outlineLevel="5" x14ac:dyDescent="0.2">
      <c r="B6278" s="14" t="s">
        <v>11832</v>
      </c>
      <c r="C6278" s="14" t="s">
        <v>11833</v>
      </c>
      <c r="D6278" s="14">
        <v>1</v>
      </c>
      <c r="E6278" s="15">
        <v>265.38</v>
      </c>
      <c r="F6278" s="16" t="s">
        <v>8</v>
      </c>
      <c r="G6278" s="38" t="str">
        <f>HYPERLINK("http://enext.ua/l0150001")</f>
        <v>http://enext.ua/l0150001</v>
      </c>
    </row>
    <row r="6279" spans="2:7" ht="12" outlineLevel="4" x14ac:dyDescent="0.2">
      <c r="B6279" s="12"/>
      <c r="C6279" s="37" t="s">
        <v>11834</v>
      </c>
      <c r="D6279" s="12"/>
      <c r="E6279" s="13"/>
      <c r="F6279" s="13"/>
      <c r="G6279" s="12"/>
    </row>
    <row r="6280" spans="2:7" ht="11.25" outlineLevel="5" x14ac:dyDescent="0.2">
      <c r="B6280" s="14" t="s">
        <v>11835</v>
      </c>
      <c r="C6280" s="14" t="s">
        <v>11836</v>
      </c>
      <c r="D6280" s="14">
        <v>1</v>
      </c>
      <c r="E6280" s="15">
        <v>118.36</v>
      </c>
      <c r="F6280" s="16" t="s">
        <v>8</v>
      </c>
      <c r="G6280" s="38" t="str">
        <f>HYPERLINK("http://enext.ua/l0450001")</f>
        <v>http://enext.ua/l0450001</v>
      </c>
    </row>
    <row r="6281" spans="2:7" ht="11.25" outlineLevel="5" x14ac:dyDescent="0.2">
      <c r="B6281" s="14" t="s">
        <v>11837</v>
      </c>
      <c r="C6281" s="14" t="s">
        <v>11838</v>
      </c>
      <c r="D6281" s="14">
        <v>1</v>
      </c>
      <c r="E6281" s="15">
        <v>105.74</v>
      </c>
      <c r="F6281" s="16" t="s">
        <v>8</v>
      </c>
      <c r="G6281" s="38" t="str">
        <f>HYPERLINK("http://enext.ua/l0450002")</f>
        <v>http://enext.ua/l0450002</v>
      </c>
    </row>
    <row r="6282" spans="2:7" ht="11.25" outlineLevel="5" x14ac:dyDescent="0.2">
      <c r="B6282" s="14" t="s">
        <v>11839</v>
      </c>
      <c r="C6282" s="14" t="s">
        <v>11840</v>
      </c>
      <c r="D6282" s="14">
        <v>1</v>
      </c>
      <c r="E6282" s="15">
        <v>203.64</v>
      </c>
      <c r="F6282" s="16" t="s">
        <v>8</v>
      </c>
      <c r="G6282" s="38" t="str">
        <f>HYPERLINK("http://enext.ua/l0450003")</f>
        <v>http://enext.ua/l0450003</v>
      </c>
    </row>
    <row r="6283" spans="2:7" ht="11.25" outlineLevel="5" x14ac:dyDescent="0.2">
      <c r="B6283" s="14" t="s">
        <v>11841</v>
      </c>
      <c r="C6283" s="14" t="s">
        <v>11842</v>
      </c>
      <c r="D6283" s="14">
        <v>1</v>
      </c>
      <c r="E6283" s="15">
        <v>214.55</v>
      </c>
      <c r="F6283" s="16" t="s">
        <v>8</v>
      </c>
      <c r="G6283" s="38" t="str">
        <f>HYPERLINK("http://enext.ua/l0450004")</f>
        <v>http://enext.ua/l0450004</v>
      </c>
    </row>
    <row r="6284" spans="2:7" ht="11.25" outlineLevel="5" x14ac:dyDescent="0.2">
      <c r="B6284" s="14" t="s">
        <v>11843</v>
      </c>
      <c r="C6284" s="14" t="s">
        <v>11844</v>
      </c>
      <c r="D6284" s="14">
        <v>1</v>
      </c>
      <c r="E6284" s="15">
        <v>279.13</v>
      </c>
      <c r="F6284" s="16" t="s">
        <v>8</v>
      </c>
      <c r="G6284" s="38" t="str">
        <f>HYPERLINK("http://enext.ua/l0450005")</f>
        <v>http://enext.ua/l0450005</v>
      </c>
    </row>
    <row r="6285" spans="2:7" ht="11.25" outlineLevel="5" x14ac:dyDescent="0.2">
      <c r="B6285" s="14" t="s">
        <v>11845</v>
      </c>
      <c r="C6285" s="14" t="s">
        <v>11846</v>
      </c>
      <c r="D6285" s="14">
        <v>1</v>
      </c>
      <c r="E6285" s="15">
        <v>318.45</v>
      </c>
      <c r="F6285" s="16" t="s">
        <v>8</v>
      </c>
      <c r="G6285" s="38" t="str">
        <f>HYPERLINK("http://enext.ua/l0450006")</f>
        <v>http://enext.ua/l0450006</v>
      </c>
    </row>
    <row r="6286" spans="2:7" ht="11.25" outlineLevel="5" x14ac:dyDescent="0.2">
      <c r="B6286" s="14" t="s">
        <v>11847</v>
      </c>
      <c r="C6286" s="14" t="s">
        <v>11848</v>
      </c>
      <c r="D6286" s="14">
        <v>1</v>
      </c>
      <c r="E6286" s="15">
        <v>538.03</v>
      </c>
      <c r="F6286" s="16" t="s">
        <v>8</v>
      </c>
      <c r="G6286" s="38" t="str">
        <f>HYPERLINK("http://enext.ua/l0450007")</f>
        <v>http://enext.ua/l0450007</v>
      </c>
    </row>
    <row r="6287" spans="2:7" ht="11.25" outlineLevel="5" x14ac:dyDescent="0.2">
      <c r="B6287" s="14" t="s">
        <v>11849</v>
      </c>
      <c r="C6287" s="14" t="s">
        <v>11850</v>
      </c>
      <c r="D6287" s="14">
        <v>1</v>
      </c>
      <c r="E6287" s="17">
        <v>1332.1</v>
      </c>
      <c r="F6287" s="16" t="s">
        <v>8</v>
      </c>
      <c r="G6287" s="38" t="str">
        <f>HYPERLINK("http://enext.ua/l0450010")</f>
        <v>http://enext.ua/l0450010</v>
      </c>
    </row>
    <row r="6288" spans="2:7" ht="11.25" outlineLevel="5" x14ac:dyDescent="0.2">
      <c r="B6288" s="14" t="s">
        <v>11851</v>
      </c>
      <c r="C6288" s="14" t="s">
        <v>11852</v>
      </c>
      <c r="D6288" s="14">
        <v>1</v>
      </c>
      <c r="E6288" s="15">
        <v>215.05</v>
      </c>
      <c r="F6288" s="16" t="s">
        <v>8</v>
      </c>
      <c r="G6288" s="38" t="str">
        <f>HYPERLINK("http://enext.ua/l0450008")</f>
        <v>http://enext.ua/l0450008</v>
      </c>
    </row>
    <row r="6289" spans="2:7" ht="11.25" outlineLevel="5" x14ac:dyDescent="0.2">
      <c r="B6289" s="14" t="s">
        <v>11853</v>
      </c>
      <c r="C6289" s="14" t="s">
        <v>11854</v>
      </c>
      <c r="D6289" s="14">
        <v>1</v>
      </c>
      <c r="E6289" s="15">
        <v>216.22</v>
      </c>
      <c r="F6289" s="16" t="s">
        <v>8</v>
      </c>
      <c r="G6289" s="38" t="str">
        <f>HYPERLINK("http://enext.ua/l0450009")</f>
        <v>http://enext.ua/l0450009</v>
      </c>
    </row>
    <row r="6290" spans="2:7" ht="12" outlineLevel="4" x14ac:dyDescent="0.2">
      <c r="B6290" s="12"/>
      <c r="C6290" s="37" t="s">
        <v>11855</v>
      </c>
      <c r="D6290" s="12"/>
      <c r="E6290" s="13"/>
      <c r="F6290" s="13"/>
      <c r="G6290" s="12"/>
    </row>
    <row r="6291" spans="2:7" ht="11.25" outlineLevel="5" x14ac:dyDescent="0.2">
      <c r="B6291" s="14" t="s">
        <v>11856</v>
      </c>
      <c r="C6291" s="14" t="s">
        <v>11857</v>
      </c>
      <c r="D6291" s="14">
        <v>1</v>
      </c>
      <c r="E6291" s="15">
        <v>59.13</v>
      </c>
      <c r="F6291" s="16" t="s">
        <v>8</v>
      </c>
      <c r="G6291" s="38" t="str">
        <f>HYPERLINK("http://enext.ua/l0460001")</f>
        <v>http://enext.ua/l0460001</v>
      </c>
    </row>
    <row r="6292" spans="2:7" ht="11.25" outlineLevel="5" x14ac:dyDescent="0.2">
      <c r="B6292" s="14" t="s">
        <v>11858</v>
      </c>
      <c r="C6292" s="14" t="s">
        <v>11859</v>
      </c>
      <c r="D6292" s="14">
        <v>1</v>
      </c>
      <c r="E6292" s="15">
        <v>73.98</v>
      </c>
      <c r="F6292" s="16" t="s">
        <v>8</v>
      </c>
      <c r="G6292" s="38" t="str">
        <f>HYPERLINK("http://enext.ua/l0460002")</f>
        <v>http://enext.ua/l0460002</v>
      </c>
    </row>
    <row r="6293" spans="2:7" ht="11.25" outlineLevel="5" x14ac:dyDescent="0.2">
      <c r="B6293" s="14" t="s">
        <v>11860</v>
      </c>
      <c r="C6293" s="14" t="s">
        <v>11861</v>
      </c>
      <c r="D6293" s="14">
        <v>1</v>
      </c>
      <c r="E6293" s="15">
        <v>131.37</v>
      </c>
      <c r="F6293" s="16" t="s">
        <v>8</v>
      </c>
      <c r="G6293" s="38" t="str">
        <f>HYPERLINK("http://enext.ua/l0460003")</f>
        <v>http://enext.ua/l0460003</v>
      </c>
    </row>
    <row r="6294" spans="2:7" ht="11.25" outlineLevel="5" x14ac:dyDescent="0.2">
      <c r="B6294" s="14" t="s">
        <v>11862</v>
      </c>
      <c r="C6294" s="14" t="s">
        <v>11863</v>
      </c>
      <c r="D6294" s="14">
        <v>1</v>
      </c>
      <c r="E6294" s="15">
        <v>157.03</v>
      </c>
      <c r="F6294" s="16" t="s">
        <v>8</v>
      </c>
      <c r="G6294" s="38" t="str">
        <f>HYPERLINK("http://enext.ua/l0460004")</f>
        <v>http://enext.ua/l0460004</v>
      </c>
    </row>
    <row r="6295" spans="2:7" ht="11.25" outlineLevel="5" x14ac:dyDescent="0.2">
      <c r="B6295" s="14" t="s">
        <v>11864</v>
      </c>
      <c r="C6295" s="14" t="s">
        <v>11865</v>
      </c>
      <c r="D6295" s="14">
        <v>1</v>
      </c>
      <c r="E6295" s="15">
        <v>649</v>
      </c>
      <c r="F6295" s="16" t="s">
        <v>8</v>
      </c>
      <c r="G6295" s="38" t="str">
        <f>HYPERLINK("http://enext.ua/l0460005")</f>
        <v>http://enext.ua/l0460005</v>
      </c>
    </row>
    <row r="6296" spans="2:7" ht="11.25" outlineLevel="5" x14ac:dyDescent="0.2">
      <c r="B6296" s="14" t="s">
        <v>11866</v>
      </c>
      <c r="C6296" s="14" t="s">
        <v>11867</v>
      </c>
      <c r="D6296" s="14">
        <v>1</v>
      </c>
      <c r="E6296" s="15">
        <v>578.6</v>
      </c>
      <c r="F6296" s="16" t="s">
        <v>8</v>
      </c>
      <c r="G6296" s="38" t="str">
        <f>HYPERLINK("http://enext.ua/l0460006")</f>
        <v>http://enext.ua/l0460006</v>
      </c>
    </row>
    <row r="6297" spans="2:7" ht="12" outlineLevel="4" x14ac:dyDescent="0.2">
      <c r="B6297" s="12"/>
      <c r="C6297" s="37" t="s">
        <v>11868</v>
      </c>
      <c r="D6297" s="12"/>
      <c r="E6297" s="13"/>
      <c r="F6297" s="13"/>
      <c r="G6297" s="12"/>
    </row>
    <row r="6298" spans="2:7" ht="11.25" outlineLevel="5" x14ac:dyDescent="0.2">
      <c r="B6298" s="14" t="s">
        <v>11869</v>
      </c>
      <c r="C6298" s="14" t="s">
        <v>11870</v>
      </c>
      <c r="D6298" s="14">
        <v>1</v>
      </c>
      <c r="E6298" s="15">
        <v>78.930000000000007</v>
      </c>
      <c r="F6298" s="16" t="s">
        <v>8</v>
      </c>
      <c r="G6298" s="38" t="str">
        <f>HYPERLINK("http://enext.ua/l0470001")</f>
        <v>http://enext.ua/l0470001</v>
      </c>
    </row>
    <row r="6299" spans="2:7" ht="11.25" outlineLevel="5" x14ac:dyDescent="0.2">
      <c r="B6299" s="14" t="s">
        <v>11871</v>
      </c>
      <c r="C6299" s="14" t="s">
        <v>11872</v>
      </c>
      <c r="D6299" s="14">
        <v>1</v>
      </c>
      <c r="E6299" s="15">
        <v>100.1</v>
      </c>
      <c r="F6299" s="16" t="s">
        <v>8</v>
      </c>
      <c r="G6299" s="38" t="str">
        <f>HYPERLINK("http://enext.ua/l0470002")</f>
        <v>http://enext.ua/l0470002</v>
      </c>
    </row>
    <row r="6300" spans="2:7" ht="11.25" outlineLevel="5" x14ac:dyDescent="0.2">
      <c r="B6300" s="14" t="s">
        <v>11873</v>
      </c>
      <c r="C6300" s="14" t="s">
        <v>11874</v>
      </c>
      <c r="D6300" s="14">
        <v>1</v>
      </c>
      <c r="E6300" s="15">
        <v>114.95</v>
      </c>
      <c r="F6300" s="16" t="s">
        <v>8</v>
      </c>
      <c r="G6300" s="38" t="str">
        <f>HYPERLINK("http://enext.ua/l0470003")</f>
        <v>http://enext.ua/l0470003</v>
      </c>
    </row>
    <row r="6301" spans="2:7" ht="11.25" outlineLevel="5" x14ac:dyDescent="0.2">
      <c r="B6301" s="14" t="s">
        <v>11875</v>
      </c>
      <c r="C6301" s="14" t="s">
        <v>11876</v>
      </c>
      <c r="D6301" s="14">
        <v>1</v>
      </c>
      <c r="E6301" s="15">
        <v>191.95</v>
      </c>
      <c r="F6301" s="16" t="s">
        <v>8</v>
      </c>
      <c r="G6301" s="38" t="str">
        <f>HYPERLINK("http://enext.ua/l0470004")</f>
        <v>http://enext.ua/l0470004</v>
      </c>
    </row>
    <row r="6302" spans="2:7" ht="11.25" outlineLevel="5" x14ac:dyDescent="0.2">
      <c r="B6302" s="14" t="s">
        <v>11877</v>
      </c>
      <c r="C6302" s="14" t="s">
        <v>11878</v>
      </c>
      <c r="D6302" s="14">
        <v>1</v>
      </c>
      <c r="E6302" s="15">
        <v>481.89</v>
      </c>
      <c r="F6302" s="16" t="s">
        <v>8</v>
      </c>
      <c r="G6302" s="38" t="str">
        <f>HYPERLINK("http://enext.ua/l0470005")</f>
        <v>http://enext.ua/l0470005</v>
      </c>
    </row>
    <row r="6303" spans="2:7" ht="12" outlineLevel="3" x14ac:dyDescent="0.2">
      <c r="B6303" s="10"/>
      <c r="C6303" s="36" t="s">
        <v>11879</v>
      </c>
      <c r="D6303" s="10"/>
      <c r="E6303" s="11"/>
      <c r="F6303" s="11"/>
      <c r="G6303" s="10"/>
    </row>
    <row r="6304" spans="2:7" ht="11.25" outlineLevel="4" x14ac:dyDescent="0.2">
      <c r="B6304" s="14" t="s">
        <v>11880</v>
      </c>
      <c r="C6304" s="14" t="s">
        <v>11881</v>
      </c>
      <c r="D6304" s="14">
        <v>10</v>
      </c>
      <c r="E6304" s="15">
        <v>4.5999999999999996</v>
      </c>
      <c r="F6304" s="16" t="s">
        <v>8</v>
      </c>
      <c r="G6304" s="38" t="str">
        <f>HYPERLINK("http://enext.ua/l005035")</f>
        <v>http://enext.ua/l005035</v>
      </c>
    </row>
    <row r="6305" spans="2:7" ht="11.25" outlineLevel="4" x14ac:dyDescent="0.2">
      <c r="B6305" s="14" t="s">
        <v>11882</v>
      </c>
      <c r="C6305" s="14" t="s">
        <v>11883</v>
      </c>
      <c r="D6305" s="14">
        <v>5</v>
      </c>
      <c r="E6305" s="15">
        <v>5.44</v>
      </c>
      <c r="F6305" s="16" t="s">
        <v>8</v>
      </c>
      <c r="G6305" s="38" t="str">
        <f>HYPERLINK("http://enext.ua/l005038")</f>
        <v>http://enext.ua/l005038</v>
      </c>
    </row>
    <row r="6306" spans="2:7" ht="11.25" outlineLevel="4" x14ac:dyDescent="0.2">
      <c r="B6306" s="14" t="s">
        <v>11884</v>
      </c>
      <c r="C6306" s="14" t="s">
        <v>11885</v>
      </c>
      <c r="D6306" s="14">
        <v>5</v>
      </c>
      <c r="E6306" s="15">
        <v>5.44</v>
      </c>
      <c r="F6306" s="16" t="s">
        <v>8</v>
      </c>
      <c r="G6306" s="38" t="str">
        <f>HYPERLINK("http://enext.ua/l005039")</f>
        <v>http://enext.ua/l005039</v>
      </c>
    </row>
    <row r="6307" spans="2:7" ht="12" outlineLevel="2" x14ac:dyDescent="0.2">
      <c r="B6307" s="8"/>
      <c r="C6307" s="35" t="s">
        <v>11886</v>
      </c>
      <c r="D6307" s="8"/>
      <c r="E6307" s="9"/>
      <c r="F6307" s="9"/>
      <c r="G6307" s="8"/>
    </row>
    <row r="6308" spans="2:7" ht="12" outlineLevel="3" x14ac:dyDescent="0.2">
      <c r="B6308" s="10"/>
      <c r="C6308" s="36" t="s">
        <v>11887</v>
      </c>
      <c r="D6308" s="10"/>
      <c r="E6308" s="11"/>
      <c r="F6308" s="11"/>
      <c r="G6308" s="10"/>
    </row>
    <row r="6309" spans="2:7" ht="22.5" outlineLevel="4" x14ac:dyDescent="0.2">
      <c r="B6309" s="14" t="s">
        <v>11888</v>
      </c>
      <c r="C6309" s="14" t="s">
        <v>11889</v>
      </c>
      <c r="D6309" s="14">
        <v>1</v>
      </c>
      <c r="E6309" s="15">
        <v>259.43</v>
      </c>
      <c r="F6309" s="16" t="s">
        <v>8</v>
      </c>
      <c r="G6309" s="38" t="str">
        <f>HYPERLINK("http://enext.ua/s061012")</f>
        <v>http://enext.ua/s061012</v>
      </c>
    </row>
    <row r="6310" spans="2:7" ht="11.25" outlineLevel="4" x14ac:dyDescent="0.2">
      <c r="B6310" s="14" t="s">
        <v>11890</v>
      </c>
      <c r="C6310" s="14" t="s">
        <v>11891</v>
      </c>
      <c r="D6310" s="14">
        <v>1</v>
      </c>
      <c r="E6310" s="15">
        <v>214.43</v>
      </c>
      <c r="F6310" s="16" t="s">
        <v>8</v>
      </c>
      <c r="G6310" s="38" t="str">
        <f>HYPERLINK("http://enext.ua/s061001")</f>
        <v>http://enext.ua/s061001</v>
      </c>
    </row>
    <row r="6311" spans="2:7" ht="11.25" outlineLevel="4" x14ac:dyDescent="0.2">
      <c r="B6311" s="14" t="s">
        <v>11892</v>
      </c>
      <c r="C6311" s="14" t="s">
        <v>11893</v>
      </c>
      <c r="D6311" s="14">
        <v>1</v>
      </c>
      <c r="E6311" s="15">
        <v>199.2</v>
      </c>
      <c r="F6311" s="16" t="s">
        <v>8</v>
      </c>
      <c r="G6311" s="38" t="str">
        <f>HYPERLINK("http://enext.ua/s061003")</f>
        <v>http://enext.ua/s061003</v>
      </c>
    </row>
    <row r="6312" spans="2:7" ht="11.25" outlineLevel="4" x14ac:dyDescent="0.2">
      <c r="B6312" s="14" t="s">
        <v>11894</v>
      </c>
      <c r="C6312" s="14" t="s">
        <v>11895</v>
      </c>
      <c r="D6312" s="14">
        <v>1</v>
      </c>
      <c r="E6312" s="15">
        <v>199.2</v>
      </c>
      <c r="F6312" s="16" t="s">
        <v>8</v>
      </c>
      <c r="G6312" s="38" t="str">
        <f>HYPERLINK("http://enext.ua/s061002")</f>
        <v>http://enext.ua/s061002</v>
      </c>
    </row>
    <row r="6313" spans="2:7" ht="11.25" outlineLevel="4" x14ac:dyDescent="0.2">
      <c r="B6313" s="14" t="s">
        <v>11896</v>
      </c>
      <c r="C6313" s="14" t="s">
        <v>11897</v>
      </c>
      <c r="D6313" s="14">
        <v>1</v>
      </c>
      <c r="E6313" s="15">
        <v>199.2</v>
      </c>
      <c r="F6313" s="16" t="s">
        <v>8</v>
      </c>
      <c r="G6313" s="38" t="str">
        <f>HYPERLINK("http://enext.ua/s061005")</f>
        <v>http://enext.ua/s061005</v>
      </c>
    </row>
    <row r="6314" spans="2:7" ht="11.25" outlineLevel="4" x14ac:dyDescent="0.2">
      <c r="B6314" s="14" t="s">
        <v>11898</v>
      </c>
      <c r="C6314" s="14" t="s">
        <v>11899</v>
      </c>
      <c r="D6314" s="14">
        <v>1</v>
      </c>
      <c r="E6314" s="15">
        <v>199.2</v>
      </c>
      <c r="F6314" s="16" t="s">
        <v>8</v>
      </c>
      <c r="G6314" s="38" t="str">
        <f>HYPERLINK("http://enext.ua/s061004")</f>
        <v>http://enext.ua/s061004</v>
      </c>
    </row>
    <row r="6315" spans="2:7" ht="11.25" outlineLevel="4" x14ac:dyDescent="0.2">
      <c r="B6315" s="14" t="s">
        <v>11900</v>
      </c>
      <c r="C6315" s="14" t="s">
        <v>11901</v>
      </c>
      <c r="D6315" s="14">
        <v>1</v>
      </c>
      <c r="E6315" s="15">
        <v>236.2</v>
      </c>
      <c r="F6315" s="16" t="s">
        <v>8</v>
      </c>
      <c r="G6315" s="38" t="str">
        <f>HYPERLINK("http://enext.ua/s061010")</f>
        <v>http://enext.ua/s061010</v>
      </c>
    </row>
    <row r="6316" spans="2:7" ht="11.25" outlineLevel="4" x14ac:dyDescent="0.2">
      <c r="B6316" s="14" t="s">
        <v>11902</v>
      </c>
      <c r="C6316" s="14" t="s">
        <v>11903</v>
      </c>
      <c r="D6316" s="14">
        <v>1</v>
      </c>
      <c r="E6316" s="15">
        <v>236.2</v>
      </c>
      <c r="F6316" s="16" t="s">
        <v>8</v>
      </c>
      <c r="G6316" s="38" t="str">
        <f>HYPERLINK("http://enext.ua/s061009")</f>
        <v>http://enext.ua/s061009</v>
      </c>
    </row>
    <row r="6317" spans="2:7" ht="11.25" outlineLevel="4" x14ac:dyDescent="0.2">
      <c r="B6317" s="14" t="s">
        <v>11904</v>
      </c>
      <c r="C6317" s="14" t="s">
        <v>11905</v>
      </c>
      <c r="D6317" s="14">
        <v>1</v>
      </c>
      <c r="E6317" s="15">
        <v>385.04</v>
      </c>
      <c r="F6317" s="16" t="s">
        <v>8</v>
      </c>
      <c r="G6317" s="38" t="str">
        <f>HYPERLINK("http://enext.ua/s061019")</f>
        <v>http://enext.ua/s061019</v>
      </c>
    </row>
    <row r="6318" spans="2:7" ht="11.25" outlineLevel="4" x14ac:dyDescent="0.2">
      <c r="B6318" s="14" t="s">
        <v>11906</v>
      </c>
      <c r="C6318" s="14" t="s">
        <v>11907</v>
      </c>
      <c r="D6318" s="14">
        <v>1</v>
      </c>
      <c r="E6318" s="15">
        <v>385.04</v>
      </c>
      <c r="F6318" s="16" t="s">
        <v>8</v>
      </c>
      <c r="G6318" s="38" t="str">
        <f>HYPERLINK("http://enext.ua/s061018")</f>
        <v>http://enext.ua/s061018</v>
      </c>
    </row>
    <row r="6319" spans="2:7" ht="11.25" outlineLevel="4" x14ac:dyDescent="0.2">
      <c r="B6319" s="14" t="s">
        <v>11908</v>
      </c>
      <c r="C6319" s="14" t="s">
        <v>11909</v>
      </c>
      <c r="D6319" s="14">
        <v>1</v>
      </c>
      <c r="E6319" s="15">
        <v>245.36</v>
      </c>
      <c r="F6319" s="16" t="s">
        <v>8</v>
      </c>
      <c r="G6319" s="38" t="str">
        <f>HYPERLINK("http://enext.ua/s061017")</f>
        <v>http://enext.ua/s061017</v>
      </c>
    </row>
    <row r="6320" spans="2:7" ht="11.25" outlineLevel="4" x14ac:dyDescent="0.2">
      <c r="B6320" s="14" t="s">
        <v>11910</v>
      </c>
      <c r="C6320" s="14" t="s">
        <v>11911</v>
      </c>
      <c r="D6320" s="14">
        <v>1</v>
      </c>
      <c r="E6320" s="15">
        <v>224.74</v>
      </c>
      <c r="F6320" s="16" t="s">
        <v>8</v>
      </c>
      <c r="G6320" s="38" t="str">
        <f>HYPERLINK("http://enext.ua/s061006")</f>
        <v>http://enext.ua/s061006</v>
      </c>
    </row>
    <row r="6321" spans="2:7" ht="22.5" outlineLevel="4" x14ac:dyDescent="0.2">
      <c r="B6321" s="14" t="s">
        <v>11912</v>
      </c>
      <c r="C6321" s="14" t="s">
        <v>11913</v>
      </c>
      <c r="D6321" s="14">
        <v>1</v>
      </c>
      <c r="E6321" s="15">
        <v>272.16000000000003</v>
      </c>
      <c r="F6321" s="16" t="s">
        <v>8</v>
      </c>
      <c r="G6321" s="38" t="str">
        <f>HYPERLINK("http://enext.ua/s061011")</f>
        <v>http://enext.ua/s061011</v>
      </c>
    </row>
    <row r="6322" spans="2:7" ht="22.5" outlineLevel="4" x14ac:dyDescent="0.2">
      <c r="B6322" s="14" t="s">
        <v>11914</v>
      </c>
      <c r="C6322" s="14" t="s">
        <v>11915</v>
      </c>
      <c r="D6322" s="14">
        <v>1</v>
      </c>
      <c r="E6322" s="15">
        <v>245.87</v>
      </c>
      <c r="F6322" s="16" t="s">
        <v>8</v>
      </c>
      <c r="G6322" s="38" t="str">
        <f>HYPERLINK("http://enext.ua/s061020")</f>
        <v>http://enext.ua/s061020</v>
      </c>
    </row>
    <row r="6323" spans="2:7" ht="11.25" outlineLevel="4" x14ac:dyDescent="0.2">
      <c r="B6323" s="14" t="s">
        <v>11916</v>
      </c>
      <c r="C6323" s="14" t="s">
        <v>11917</v>
      </c>
      <c r="D6323" s="14">
        <v>1</v>
      </c>
      <c r="E6323" s="15">
        <v>375.25</v>
      </c>
      <c r="F6323" s="16" t="s">
        <v>8</v>
      </c>
      <c r="G6323" s="38" t="str">
        <f>HYPERLINK("http://enext.ua/s061021")</f>
        <v>http://enext.ua/s061021</v>
      </c>
    </row>
    <row r="6324" spans="2:7" ht="12" outlineLevel="3" x14ac:dyDescent="0.2">
      <c r="B6324" s="10"/>
      <c r="C6324" s="36" t="s">
        <v>11918</v>
      </c>
      <c r="D6324" s="10"/>
      <c r="E6324" s="11"/>
      <c r="F6324" s="11"/>
      <c r="G6324" s="10"/>
    </row>
    <row r="6325" spans="2:7" ht="11.25" outlineLevel="4" x14ac:dyDescent="0.2">
      <c r="B6325" s="14" t="s">
        <v>11919</v>
      </c>
      <c r="C6325" s="14" t="s">
        <v>11920</v>
      </c>
      <c r="D6325" s="14">
        <v>1</v>
      </c>
      <c r="E6325" s="15">
        <v>121.65</v>
      </c>
      <c r="F6325" s="16" t="s">
        <v>8</v>
      </c>
      <c r="G6325" s="38" t="str">
        <f>HYPERLINK("http://enext.ua/s061007")</f>
        <v>http://enext.ua/s061007</v>
      </c>
    </row>
    <row r="6326" spans="2:7" ht="11.25" outlineLevel="4" x14ac:dyDescent="0.2">
      <c r="B6326" s="14" t="s">
        <v>11921</v>
      </c>
      <c r="C6326" s="14" t="s">
        <v>11922</v>
      </c>
      <c r="D6326" s="14">
        <v>1</v>
      </c>
      <c r="E6326" s="15">
        <v>164.95</v>
      </c>
      <c r="F6326" s="16" t="s">
        <v>8</v>
      </c>
      <c r="G6326" s="38" t="str">
        <f>HYPERLINK("http://enext.ua/s061008")</f>
        <v>http://enext.ua/s061008</v>
      </c>
    </row>
    <row r="6327" spans="2:7" ht="22.5" outlineLevel="4" x14ac:dyDescent="0.2">
      <c r="B6327" s="14" t="s">
        <v>11923</v>
      </c>
      <c r="C6327" s="14" t="s">
        <v>11924</v>
      </c>
      <c r="D6327" s="14">
        <v>1</v>
      </c>
      <c r="E6327" s="15">
        <v>500</v>
      </c>
      <c r="F6327" s="16" t="s">
        <v>8</v>
      </c>
      <c r="G6327" s="38" t="str">
        <f>HYPERLINK("http://enext.ua/s061016")</f>
        <v>http://enext.ua/s061016</v>
      </c>
    </row>
    <row r="6328" spans="2:7" ht="12" outlineLevel="3" x14ac:dyDescent="0.2">
      <c r="B6328" s="10"/>
      <c r="C6328" s="36" t="s">
        <v>11925</v>
      </c>
      <c r="D6328" s="10"/>
      <c r="E6328" s="11"/>
      <c r="F6328" s="11"/>
      <c r="G6328" s="10"/>
    </row>
    <row r="6329" spans="2:7" ht="22.5" outlineLevel="4" x14ac:dyDescent="0.2">
      <c r="B6329" s="14" t="s">
        <v>11926</v>
      </c>
      <c r="C6329" s="14" t="s">
        <v>11927</v>
      </c>
      <c r="D6329" s="14">
        <v>1</v>
      </c>
      <c r="E6329" s="15">
        <v>579.89</v>
      </c>
      <c r="F6329" s="16" t="s">
        <v>8</v>
      </c>
      <c r="G6329" s="38" t="str">
        <f>HYPERLINK("http://enext.ua/s061022")</f>
        <v>http://enext.ua/s061022</v>
      </c>
    </row>
    <row r="6330" spans="2:7" ht="22.5" outlineLevel="4" x14ac:dyDescent="0.2">
      <c r="B6330" s="14" t="s">
        <v>11928</v>
      </c>
      <c r="C6330" s="14" t="s">
        <v>11929</v>
      </c>
      <c r="D6330" s="14">
        <v>1</v>
      </c>
      <c r="E6330" s="17">
        <v>1164.93</v>
      </c>
      <c r="F6330" s="16" t="s">
        <v>8</v>
      </c>
      <c r="G6330" s="38" t="str">
        <f>HYPERLINK("http://enext.ua/s061023")</f>
        <v>http://enext.ua/s061023</v>
      </c>
    </row>
    <row r="6331" spans="2:7" ht="11.25" outlineLevel="4" x14ac:dyDescent="0.2">
      <c r="B6331" s="14" t="s">
        <v>11930</v>
      </c>
      <c r="C6331" s="14" t="s">
        <v>11931</v>
      </c>
      <c r="D6331" s="14">
        <v>1</v>
      </c>
      <c r="E6331" s="15">
        <v>593.79999999999995</v>
      </c>
      <c r="F6331" s="16" t="s">
        <v>8</v>
      </c>
      <c r="G6331" s="38" t="str">
        <f>HYPERLINK("http://enext.ua/s061024")</f>
        <v>http://enext.ua/s061024</v>
      </c>
    </row>
    <row r="6332" spans="2:7" ht="11.25" outlineLevel="4" x14ac:dyDescent="0.2">
      <c r="B6332" s="14" t="s">
        <v>11932</v>
      </c>
      <c r="C6332" s="14" t="s">
        <v>11933</v>
      </c>
      <c r="D6332" s="14">
        <v>1</v>
      </c>
      <c r="E6332" s="15">
        <v>477.82</v>
      </c>
      <c r="F6332" s="16" t="s">
        <v>8</v>
      </c>
      <c r="G6332" s="38" t="str">
        <f>HYPERLINK("http://enext.ua/s061027")</f>
        <v>http://enext.ua/s061027</v>
      </c>
    </row>
    <row r="6333" spans="2:7" ht="11.25" outlineLevel="4" x14ac:dyDescent="0.2">
      <c r="B6333" s="14" t="s">
        <v>11934</v>
      </c>
      <c r="C6333" s="14" t="s">
        <v>11935</v>
      </c>
      <c r="D6333" s="14">
        <v>1</v>
      </c>
      <c r="E6333" s="15">
        <v>477.82</v>
      </c>
      <c r="F6333" s="16" t="s">
        <v>8</v>
      </c>
      <c r="G6333" s="38" t="str">
        <f>HYPERLINK("http://enext.ua/s061026")</f>
        <v>http://enext.ua/s061026</v>
      </c>
    </row>
    <row r="6334" spans="2:7" ht="11.25" outlineLevel="4" x14ac:dyDescent="0.2">
      <c r="B6334" s="14" t="s">
        <v>11936</v>
      </c>
      <c r="C6334" s="14" t="s">
        <v>11937</v>
      </c>
      <c r="D6334" s="14">
        <v>1</v>
      </c>
      <c r="E6334" s="15">
        <v>440.71</v>
      </c>
      <c r="F6334" s="16" t="s">
        <v>8</v>
      </c>
      <c r="G6334" s="38" t="str">
        <f>HYPERLINK("http://enext.ua/s061025")</f>
        <v>http://enext.ua/s061025</v>
      </c>
    </row>
    <row r="6335" spans="2:7" ht="12" outlineLevel="2" x14ac:dyDescent="0.2">
      <c r="B6335" s="8"/>
      <c r="C6335" s="35" t="s">
        <v>11938</v>
      </c>
      <c r="D6335" s="8"/>
      <c r="E6335" s="9"/>
      <c r="F6335" s="9"/>
      <c r="G6335" s="8"/>
    </row>
    <row r="6336" spans="2:7" ht="12" outlineLevel="3" x14ac:dyDescent="0.2">
      <c r="B6336" s="10"/>
      <c r="C6336" s="36" t="s">
        <v>11939</v>
      </c>
      <c r="D6336" s="10"/>
      <c r="E6336" s="11"/>
      <c r="F6336" s="11"/>
      <c r="G6336" s="10"/>
    </row>
    <row r="6337" spans="2:7" ht="11.25" outlineLevel="4" x14ac:dyDescent="0.2">
      <c r="B6337" s="14" t="s">
        <v>11940</v>
      </c>
      <c r="C6337" s="14" t="s">
        <v>11941</v>
      </c>
      <c r="D6337" s="14">
        <v>1</v>
      </c>
      <c r="E6337" s="15">
        <v>169.95</v>
      </c>
      <c r="F6337" s="16" t="s">
        <v>8</v>
      </c>
      <c r="G6337" s="38" t="str">
        <f>HYPERLINK("http://enext.ua/l0410001")</f>
        <v>http://enext.ua/l0410001</v>
      </c>
    </row>
    <row r="6338" spans="2:7" ht="11.25" outlineLevel="4" x14ac:dyDescent="0.2">
      <c r="B6338" s="14" t="s">
        <v>11942</v>
      </c>
      <c r="C6338" s="14" t="s">
        <v>11943</v>
      </c>
      <c r="D6338" s="14">
        <v>1</v>
      </c>
      <c r="E6338" s="15">
        <v>354.48</v>
      </c>
      <c r="F6338" s="16" t="s">
        <v>8</v>
      </c>
      <c r="G6338" s="38" t="str">
        <f>HYPERLINK("http://enext.ua/l0410002")</f>
        <v>http://enext.ua/l0410002</v>
      </c>
    </row>
    <row r="6339" spans="2:7" ht="12" outlineLevel="3" x14ac:dyDescent="0.2">
      <c r="B6339" s="10"/>
      <c r="C6339" s="36" t="s">
        <v>11944</v>
      </c>
      <c r="D6339" s="10"/>
      <c r="E6339" s="11"/>
      <c r="F6339" s="11"/>
      <c r="G6339" s="10"/>
    </row>
    <row r="6340" spans="2:7" ht="11.25" outlineLevel="4" x14ac:dyDescent="0.2">
      <c r="B6340" s="14" t="s">
        <v>11945</v>
      </c>
      <c r="C6340" s="14" t="s">
        <v>11946</v>
      </c>
      <c r="D6340" s="14">
        <v>1</v>
      </c>
      <c r="E6340" s="15">
        <v>70.13</v>
      </c>
      <c r="F6340" s="16" t="s">
        <v>8</v>
      </c>
      <c r="G6340" s="38" t="str">
        <f>HYPERLINK("http://enext.ua/l0420001")</f>
        <v>http://enext.ua/l0420001</v>
      </c>
    </row>
    <row r="6341" spans="2:7" ht="11.25" outlineLevel="4" x14ac:dyDescent="0.2">
      <c r="B6341" s="14" t="s">
        <v>11947</v>
      </c>
      <c r="C6341" s="14" t="s">
        <v>11948</v>
      </c>
      <c r="D6341" s="14">
        <v>1</v>
      </c>
      <c r="E6341" s="15">
        <v>83.05</v>
      </c>
      <c r="F6341" s="16" t="s">
        <v>8</v>
      </c>
      <c r="G6341" s="38" t="str">
        <f>HYPERLINK("http://enext.ua/l0420002")</f>
        <v>http://enext.ua/l0420002</v>
      </c>
    </row>
    <row r="6342" spans="2:7" ht="11.25" outlineLevel="4" x14ac:dyDescent="0.2">
      <c r="B6342" s="14" t="s">
        <v>11949</v>
      </c>
      <c r="C6342" s="14" t="s">
        <v>11950</v>
      </c>
      <c r="D6342" s="14">
        <v>1</v>
      </c>
      <c r="E6342" s="15">
        <v>112.48</v>
      </c>
      <c r="F6342" s="16" t="s">
        <v>8</v>
      </c>
      <c r="G6342" s="38" t="str">
        <f>HYPERLINK("http://enext.ua/l0420011")</f>
        <v>http://enext.ua/l0420011</v>
      </c>
    </row>
    <row r="6343" spans="2:7" ht="11.25" outlineLevel="4" x14ac:dyDescent="0.2">
      <c r="B6343" s="14" t="s">
        <v>11951</v>
      </c>
      <c r="C6343" s="14" t="s">
        <v>11952</v>
      </c>
      <c r="D6343" s="14">
        <v>1</v>
      </c>
      <c r="E6343" s="15">
        <v>112.86</v>
      </c>
      <c r="F6343" s="16" t="s">
        <v>8</v>
      </c>
      <c r="G6343" s="38" t="str">
        <f>HYPERLINK("http://enext.ua/l0420003")</f>
        <v>http://enext.ua/l0420003</v>
      </c>
    </row>
    <row r="6344" spans="2:7" ht="11.25" outlineLevel="4" x14ac:dyDescent="0.2">
      <c r="B6344" s="14" t="s">
        <v>11953</v>
      </c>
      <c r="C6344" s="14" t="s">
        <v>11954</v>
      </c>
      <c r="D6344" s="14">
        <v>150</v>
      </c>
      <c r="E6344" s="15">
        <v>135.58000000000001</v>
      </c>
      <c r="F6344" s="16" t="s">
        <v>8</v>
      </c>
      <c r="G6344" s="38" t="str">
        <f>HYPERLINK("http://enext.ua/l0420004")</f>
        <v>http://enext.ua/l0420004</v>
      </c>
    </row>
    <row r="6345" spans="2:7" ht="11.25" outlineLevel="4" x14ac:dyDescent="0.2">
      <c r="B6345" s="14" t="s">
        <v>11955</v>
      </c>
      <c r="C6345" s="14" t="s">
        <v>11956</v>
      </c>
      <c r="D6345" s="14">
        <v>1</v>
      </c>
      <c r="E6345" s="15">
        <v>169.13</v>
      </c>
      <c r="F6345" s="16" t="s">
        <v>8</v>
      </c>
      <c r="G6345" s="38" t="str">
        <f>HYPERLINK("http://enext.ua/l0420005")</f>
        <v>http://enext.ua/l0420005</v>
      </c>
    </row>
    <row r="6346" spans="2:7" ht="11.25" outlineLevel="4" x14ac:dyDescent="0.2">
      <c r="B6346" s="14" t="s">
        <v>11957</v>
      </c>
      <c r="C6346" s="14" t="s">
        <v>11958</v>
      </c>
      <c r="D6346" s="14">
        <v>1</v>
      </c>
      <c r="E6346" s="15">
        <v>201.58</v>
      </c>
      <c r="F6346" s="16" t="s">
        <v>8</v>
      </c>
      <c r="G6346" s="38" t="str">
        <f>HYPERLINK("http://enext.ua/l0420006")</f>
        <v>http://enext.ua/l0420006</v>
      </c>
    </row>
    <row r="6347" spans="2:7" ht="11.25" outlineLevel="4" x14ac:dyDescent="0.2">
      <c r="B6347" s="14" t="s">
        <v>11959</v>
      </c>
      <c r="C6347" s="14" t="s">
        <v>11960</v>
      </c>
      <c r="D6347" s="14">
        <v>1</v>
      </c>
      <c r="E6347" s="15">
        <v>226.6</v>
      </c>
      <c r="F6347" s="16" t="s">
        <v>8</v>
      </c>
      <c r="G6347" s="38" t="str">
        <f>HYPERLINK("http://enext.ua/l0420007")</f>
        <v>http://enext.ua/l0420007</v>
      </c>
    </row>
    <row r="6348" spans="2:7" ht="11.25" outlineLevel="4" x14ac:dyDescent="0.2">
      <c r="B6348" s="14" t="s">
        <v>11961</v>
      </c>
      <c r="C6348" s="14" t="s">
        <v>11962</v>
      </c>
      <c r="D6348" s="14">
        <v>50</v>
      </c>
      <c r="E6348" s="15">
        <v>225.97</v>
      </c>
      <c r="F6348" s="16" t="s">
        <v>8</v>
      </c>
      <c r="G6348" s="38" t="str">
        <f>HYPERLINK("http://enext.ua/l0420008")</f>
        <v>http://enext.ua/l0420008</v>
      </c>
    </row>
    <row r="6349" spans="2:7" ht="11.25" outlineLevel="4" x14ac:dyDescent="0.2">
      <c r="B6349" s="14" t="s">
        <v>11963</v>
      </c>
      <c r="C6349" s="14" t="s">
        <v>11964</v>
      </c>
      <c r="D6349" s="14">
        <v>1</v>
      </c>
      <c r="E6349" s="15">
        <v>317.63</v>
      </c>
      <c r="F6349" s="16" t="s">
        <v>8</v>
      </c>
      <c r="G6349" s="38" t="str">
        <f>HYPERLINK("http://enext.ua/l0420009")</f>
        <v>http://enext.ua/l0420009</v>
      </c>
    </row>
    <row r="6350" spans="2:7" ht="11.25" outlineLevel="4" x14ac:dyDescent="0.2">
      <c r="B6350" s="14" t="s">
        <v>11965</v>
      </c>
      <c r="C6350" s="14" t="s">
        <v>11966</v>
      </c>
      <c r="D6350" s="14">
        <v>1</v>
      </c>
      <c r="E6350" s="15">
        <v>344.77</v>
      </c>
      <c r="F6350" s="16" t="s">
        <v>8</v>
      </c>
      <c r="G6350" s="38" t="str">
        <f>HYPERLINK("http://enext.ua/l0420010")</f>
        <v>http://enext.ua/l0420010</v>
      </c>
    </row>
    <row r="6351" spans="2:7" ht="12" outlineLevel="3" x14ac:dyDescent="0.2">
      <c r="B6351" s="10"/>
      <c r="C6351" s="36" t="s">
        <v>11967</v>
      </c>
      <c r="D6351" s="10"/>
      <c r="E6351" s="11"/>
      <c r="F6351" s="11"/>
      <c r="G6351" s="10"/>
    </row>
    <row r="6352" spans="2:7" ht="11.25" outlineLevel="4" x14ac:dyDescent="0.2">
      <c r="B6352" s="14" t="s">
        <v>11968</v>
      </c>
      <c r="C6352" s="14" t="s">
        <v>11969</v>
      </c>
      <c r="D6352" s="14">
        <v>1</v>
      </c>
      <c r="E6352" s="15">
        <v>126.67</v>
      </c>
      <c r="F6352" s="16" t="s">
        <v>8</v>
      </c>
      <c r="G6352" s="38" t="str">
        <f>HYPERLINK("http://enext.ua/l011001")</f>
        <v>http://enext.ua/l011001</v>
      </c>
    </row>
    <row r="6353" spans="2:7" ht="11.25" outlineLevel="4" x14ac:dyDescent="0.2">
      <c r="B6353" s="14" t="s">
        <v>11970</v>
      </c>
      <c r="C6353" s="14" t="s">
        <v>11971</v>
      </c>
      <c r="D6353" s="14">
        <v>1</v>
      </c>
      <c r="E6353" s="15">
        <v>194.62</v>
      </c>
      <c r="F6353" s="16" t="s">
        <v>8</v>
      </c>
      <c r="G6353" s="38" t="str">
        <f>HYPERLINK("http://enext.ua/l011002")</f>
        <v>http://enext.ua/l011002</v>
      </c>
    </row>
    <row r="6354" spans="2:7" ht="11.25" outlineLevel="4" x14ac:dyDescent="0.2">
      <c r="B6354" s="14" t="s">
        <v>11972</v>
      </c>
      <c r="C6354" s="14" t="s">
        <v>11973</v>
      </c>
      <c r="D6354" s="14">
        <v>1</v>
      </c>
      <c r="E6354" s="15">
        <v>225.04</v>
      </c>
      <c r="F6354" s="16" t="s">
        <v>8</v>
      </c>
      <c r="G6354" s="38" t="str">
        <f>HYPERLINK("http://enext.ua/l011003")</f>
        <v>http://enext.ua/l011003</v>
      </c>
    </row>
    <row r="6355" spans="2:7" ht="11.25" outlineLevel="4" x14ac:dyDescent="0.2">
      <c r="B6355" s="14" t="s">
        <v>11974</v>
      </c>
      <c r="C6355" s="14" t="s">
        <v>11975</v>
      </c>
      <c r="D6355" s="14">
        <v>1</v>
      </c>
      <c r="E6355" s="15">
        <v>112.62</v>
      </c>
      <c r="F6355" s="16" t="s">
        <v>8</v>
      </c>
      <c r="G6355" s="38" t="str">
        <f>HYPERLINK("http://enext.ua/l011017")</f>
        <v>http://enext.ua/l011017</v>
      </c>
    </row>
    <row r="6356" spans="2:7" ht="12" outlineLevel="3" x14ac:dyDescent="0.2">
      <c r="B6356" s="10"/>
      <c r="C6356" s="36" t="s">
        <v>11976</v>
      </c>
      <c r="D6356" s="10"/>
      <c r="E6356" s="11"/>
      <c r="F6356" s="11"/>
      <c r="G6356" s="10"/>
    </row>
    <row r="6357" spans="2:7" ht="11.25" outlineLevel="4" x14ac:dyDescent="0.2">
      <c r="B6357" s="14" t="s">
        <v>11977</v>
      </c>
      <c r="C6357" s="14" t="s">
        <v>11978</v>
      </c>
      <c r="D6357" s="14">
        <v>25</v>
      </c>
      <c r="E6357" s="15">
        <v>7.98</v>
      </c>
      <c r="F6357" s="16" t="s">
        <v>8</v>
      </c>
      <c r="G6357" s="38" t="str">
        <f>HYPERLINK("http://enext.ua/l009001")</f>
        <v>http://enext.ua/l009001</v>
      </c>
    </row>
    <row r="6358" spans="2:7" ht="11.25" outlineLevel="4" x14ac:dyDescent="0.2">
      <c r="B6358" s="14" t="s">
        <v>11979</v>
      </c>
      <c r="C6358" s="14" t="s">
        <v>11980</v>
      </c>
      <c r="D6358" s="14">
        <v>25</v>
      </c>
      <c r="E6358" s="15">
        <v>7.98</v>
      </c>
      <c r="F6358" s="16" t="s">
        <v>8</v>
      </c>
      <c r="G6358" s="38" t="str">
        <f>HYPERLINK("http://enext.ua/l009003")</f>
        <v>http://enext.ua/l009003</v>
      </c>
    </row>
    <row r="6359" spans="2:7" ht="11.25" outlineLevel="4" x14ac:dyDescent="0.2">
      <c r="B6359" s="14" t="s">
        <v>11981</v>
      </c>
      <c r="C6359" s="14" t="s">
        <v>11982</v>
      </c>
      <c r="D6359" s="14">
        <v>25</v>
      </c>
      <c r="E6359" s="15">
        <v>5.59</v>
      </c>
      <c r="F6359" s="16" t="s">
        <v>8</v>
      </c>
      <c r="G6359" s="38" t="str">
        <f>HYPERLINK("http://enext.ua/l009002")</f>
        <v>http://enext.ua/l009002</v>
      </c>
    </row>
    <row r="6360" spans="2:7" ht="11.25" outlineLevel="4" x14ac:dyDescent="0.2">
      <c r="B6360" s="14" t="s">
        <v>11983</v>
      </c>
      <c r="C6360" s="14" t="s">
        <v>11984</v>
      </c>
      <c r="D6360" s="14">
        <v>25</v>
      </c>
      <c r="E6360" s="15">
        <v>7.98</v>
      </c>
      <c r="F6360" s="16" t="s">
        <v>8</v>
      </c>
      <c r="G6360" s="38" t="str">
        <f>HYPERLINK("http://enext.ua/l009004")</f>
        <v>http://enext.ua/l009004</v>
      </c>
    </row>
    <row r="6361" spans="2:7" ht="12" outlineLevel="3" x14ac:dyDescent="0.2">
      <c r="B6361" s="10"/>
      <c r="C6361" s="36" t="s">
        <v>11985</v>
      </c>
      <c r="D6361" s="10"/>
      <c r="E6361" s="11"/>
      <c r="F6361" s="11"/>
      <c r="G6361" s="10"/>
    </row>
    <row r="6362" spans="2:7" ht="11.25" outlineLevel="4" x14ac:dyDescent="0.2">
      <c r="B6362" s="14" t="s">
        <v>11986</v>
      </c>
      <c r="C6362" s="14" t="s">
        <v>11987</v>
      </c>
      <c r="D6362" s="14">
        <v>1</v>
      </c>
      <c r="E6362" s="15">
        <v>69.83</v>
      </c>
      <c r="F6362" s="16" t="s">
        <v>8</v>
      </c>
      <c r="G6362" s="38" t="str">
        <f>HYPERLINK("http://enext.ua/l010008")</f>
        <v>http://enext.ua/l010008</v>
      </c>
    </row>
    <row r="6363" spans="2:7" ht="11.25" outlineLevel="4" x14ac:dyDescent="0.2">
      <c r="B6363" s="14" t="s">
        <v>11988</v>
      </c>
      <c r="C6363" s="14" t="s">
        <v>11989</v>
      </c>
      <c r="D6363" s="14">
        <v>1</v>
      </c>
      <c r="E6363" s="15">
        <v>85.26</v>
      </c>
      <c r="F6363" s="16" t="s">
        <v>8</v>
      </c>
      <c r="G6363" s="14"/>
    </row>
    <row r="6364" spans="2:7" ht="11.25" outlineLevel="4" x14ac:dyDescent="0.2">
      <c r="B6364" s="14" t="s">
        <v>11990</v>
      </c>
      <c r="C6364" s="14" t="s">
        <v>11991</v>
      </c>
      <c r="D6364" s="14">
        <v>1</v>
      </c>
      <c r="E6364" s="15">
        <v>129.36000000000001</v>
      </c>
      <c r="F6364" s="16" t="s">
        <v>8</v>
      </c>
      <c r="G6364" s="14"/>
    </row>
    <row r="6365" spans="2:7" ht="11.25" outlineLevel="4" x14ac:dyDescent="0.2">
      <c r="B6365" s="14" t="s">
        <v>11992</v>
      </c>
      <c r="C6365" s="14" t="s">
        <v>11993</v>
      </c>
      <c r="D6365" s="14">
        <v>1</v>
      </c>
      <c r="E6365" s="15">
        <v>294.52999999999997</v>
      </c>
      <c r="F6365" s="16" t="s">
        <v>8</v>
      </c>
      <c r="G6365" s="38" t="str">
        <f>HYPERLINK("http://enext.ua/l010009")</f>
        <v>http://enext.ua/l010009</v>
      </c>
    </row>
    <row r="6366" spans="2:7" ht="11.25" outlineLevel="4" x14ac:dyDescent="0.2">
      <c r="B6366" s="14" t="s">
        <v>11994</v>
      </c>
      <c r="C6366" s="14" t="s">
        <v>11995</v>
      </c>
      <c r="D6366" s="14">
        <v>1</v>
      </c>
      <c r="E6366" s="15">
        <v>134.03</v>
      </c>
      <c r="F6366" s="16" t="s">
        <v>8</v>
      </c>
      <c r="G6366" s="38" t="str">
        <f>HYPERLINK("http://enext.ua/l010010")</f>
        <v>http://enext.ua/l010010</v>
      </c>
    </row>
    <row r="6367" spans="2:7" ht="11.25" outlineLevel="4" x14ac:dyDescent="0.2">
      <c r="B6367" s="14" t="s">
        <v>11996</v>
      </c>
      <c r="C6367" s="14" t="s">
        <v>11997</v>
      </c>
      <c r="D6367" s="14">
        <v>1</v>
      </c>
      <c r="E6367" s="15">
        <v>468.05</v>
      </c>
      <c r="F6367" s="16" t="s">
        <v>8</v>
      </c>
      <c r="G6367" s="38" t="str">
        <f>HYPERLINK("http://enext.ua/l010011")</f>
        <v>http://enext.ua/l010011</v>
      </c>
    </row>
    <row r="6368" spans="2:7" ht="11.25" outlineLevel="4" x14ac:dyDescent="0.2">
      <c r="B6368" s="14" t="s">
        <v>11998</v>
      </c>
      <c r="C6368" s="14" t="s">
        <v>11999</v>
      </c>
      <c r="D6368" s="14">
        <v>1</v>
      </c>
      <c r="E6368" s="15">
        <v>41.8</v>
      </c>
      <c r="F6368" s="16" t="s">
        <v>8</v>
      </c>
      <c r="G6368" s="38" t="str">
        <f>HYPERLINK("http://enext.ua/l010001")</f>
        <v>http://enext.ua/l010001</v>
      </c>
    </row>
    <row r="6369" spans="2:7" ht="11.25" outlineLevel="4" x14ac:dyDescent="0.2">
      <c r="B6369" s="14" t="s">
        <v>12000</v>
      </c>
      <c r="C6369" s="14" t="s">
        <v>12001</v>
      </c>
      <c r="D6369" s="14">
        <v>1</v>
      </c>
      <c r="E6369" s="15">
        <v>82.5</v>
      </c>
      <c r="F6369" s="16" t="s">
        <v>8</v>
      </c>
      <c r="G6369" s="38" t="str">
        <f>HYPERLINK("http://enext.ua/l010002")</f>
        <v>http://enext.ua/l010002</v>
      </c>
    </row>
    <row r="6370" spans="2:7" ht="11.25" outlineLevel="4" x14ac:dyDescent="0.2">
      <c r="B6370" s="14" t="s">
        <v>12002</v>
      </c>
      <c r="C6370" s="14" t="s">
        <v>12003</v>
      </c>
      <c r="D6370" s="14">
        <v>1</v>
      </c>
      <c r="E6370" s="15">
        <v>80.44</v>
      </c>
      <c r="F6370" s="16" t="s">
        <v>8</v>
      </c>
      <c r="G6370" s="38" t="str">
        <f>HYPERLINK("http://enext.ua/l010007")</f>
        <v>http://enext.ua/l010007</v>
      </c>
    </row>
    <row r="6371" spans="2:7" ht="11.25" outlineLevel="4" x14ac:dyDescent="0.2">
      <c r="B6371" s="14" t="s">
        <v>12004</v>
      </c>
      <c r="C6371" s="14" t="s">
        <v>12005</v>
      </c>
      <c r="D6371" s="14">
        <v>1</v>
      </c>
      <c r="E6371" s="15">
        <v>257.13</v>
      </c>
      <c r="F6371" s="16" t="s">
        <v>8</v>
      </c>
      <c r="G6371" s="38" t="str">
        <f>HYPERLINK("http://enext.ua/l010019")</f>
        <v>http://enext.ua/l010019</v>
      </c>
    </row>
    <row r="6372" spans="2:7" ht="11.25" outlineLevel="4" x14ac:dyDescent="0.2">
      <c r="B6372" s="14" t="s">
        <v>12006</v>
      </c>
      <c r="C6372" s="14" t="s">
        <v>12007</v>
      </c>
      <c r="D6372" s="14">
        <v>1</v>
      </c>
      <c r="E6372" s="15">
        <v>78.930000000000007</v>
      </c>
      <c r="F6372" s="16" t="s">
        <v>8</v>
      </c>
      <c r="G6372" s="38" t="str">
        <f>HYPERLINK("http://enext.ua/l010014")</f>
        <v>http://enext.ua/l010014</v>
      </c>
    </row>
    <row r="6373" spans="2:7" ht="11.25" outlineLevel="4" x14ac:dyDescent="0.2">
      <c r="B6373" s="14" t="s">
        <v>12008</v>
      </c>
      <c r="C6373" s="14" t="s">
        <v>12009</v>
      </c>
      <c r="D6373" s="14">
        <v>5</v>
      </c>
      <c r="E6373" s="15">
        <v>50.15</v>
      </c>
      <c r="F6373" s="16" t="s">
        <v>8</v>
      </c>
      <c r="G6373" s="38" t="str">
        <f>HYPERLINK("http://enext.ua/l010015")</f>
        <v>http://enext.ua/l010015</v>
      </c>
    </row>
    <row r="6374" spans="2:7" ht="11.25" outlineLevel="4" x14ac:dyDescent="0.2">
      <c r="B6374" s="14" t="s">
        <v>12010</v>
      </c>
      <c r="C6374" s="14" t="s">
        <v>12011</v>
      </c>
      <c r="D6374" s="14">
        <v>1</v>
      </c>
      <c r="E6374" s="15">
        <v>121.55</v>
      </c>
      <c r="F6374" s="16" t="s">
        <v>8</v>
      </c>
      <c r="G6374" s="38" t="str">
        <f>HYPERLINK("http://enext.ua/l010016")</f>
        <v>http://enext.ua/l010016</v>
      </c>
    </row>
    <row r="6375" spans="2:7" ht="11.25" outlineLevel="4" x14ac:dyDescent="0.2">
      <c r="B6375" s="14" t="s">
        <v>12012</v>
      </c>
      <c r="C6375" s="14" t="s">
        <v>12013</v>
      </c>
      <c r="D6375" s="14">
        <v>5</v>
      </c>
      <c r="E6375" s="15">
        <v>50.15</v>
      </c>
      <c r="F6375" s="16" t="s">
        <v>8</v>
      </c>
      <c r="G6375" s="38" t="str">
        <f>HYPERLINK("http://enext.ua/l010017")</f>
        <v>http://enext.ua/l010017</v>
      </c>
    </row>
    <row r="6376" spans="2:7" ht="11.25" outlineLevel="4" x14ac:dyDescent="0.2">
      <c r="B6376" s="14" t="s">
        <v>12014</v>
      </c>
      <c r="C6376" s="14" t="s">
        <v>12015</v>
      </c>
      <c r="D6376" s="14">
        <v>5</v>
      </c>
      <c r="E6376" s="15">
        <v>90.41</v>
      </c>
      <c r="F6376" s="16" t="s">
        <v>8</v>
      </c>
      <c r="G6376" s="38" t="str">
        <f>HYPERLINK("http://enext.ua/l010018")</f>
        <v>http://enext.ua/l010018</v>
      </c>
    </row>
    <row r="6377" spans="2:7" ht="12" outlineLevel="3" x14ac:dyDescent="0.2">
      <c r="B6377" s="10"/>
      <c r="C6377" s="36" t="s">
        <v>12016</v>
      </c>
      <c r="D6377" s="10"/>
      <c r="E6377" s="11"/>
      <c r="F6377" s="11"/>
      <c r="G6377" s="10"/>
    </row>
    <row r="6378" spans="2:7" ht="11.25" outlineLevel="4" x14ac:dyDescent="0.2">
      <c r="B6378" s="14" t="s">
        <v>12017</v>
      </c>
      <c r="C6378" s="14" t="s">
        <v>12018</v>
      </c>
      <c r="D6378" s="14">
        <v>1</v>
      </c>
      <c r="E6378" s="15">
        <v>394.08</v>
      </c>
      <c r="F6378" s="16" t="s">
        <v>8</v>
      </c>
      <c r="G6378" s="38" t="str">
        <f>HYPERLINK("http://enext.ua/l0440001")</f>
        <v>http://enext.ua/l0440001</v>
      </c>
    </row>
    <row r="6379" spans="2:7" ht="11.25" outlineLevel="4" x14ac:dyDescent="0.2">
      <c r="B6379" s="14" t="s">
        <v>12019</v>
      </c>
      <c r="C6379" s="14" t="s">
        <v>12020</v>
      </c>
      <c r="D6379" s="14">
        <v>1</v>
      </c>
      <c r="E6379" s="15">
        <v>423.5</v>
      </c>
      <c r="F6379" s="16" t="s">
        <v>8</v>
      </c>
      <c r="G6379" s="38" t="str">
        <f>HYPERLINK("http://enext.ua/l0440002")</f>
        <v>http://enext.ua/l0440002</v>
      </c>
    </row>
    <row r="6380" spans="2:7" ht="22.5" outlineLevel="4" x14ac:dyDescent="0.2">
      <c r="B6380" s="14" t="s">
        <v>12021</v>
      </c>
      <c r="C6380" s="14" t="s">
        <v>12022</v>
      </c>
      <c r="D6380" s="14">
        <v>1</v>
      </c>
      <c r="E6380" s="15">
        <v>713.63</v>
      </c>
      <c r="F6380" s="16" t="s">
        <v>8</v>
      </c>
      <c r="G6380" s="38" t="str">
        <f>HYPERLINK("http://enext.ua/l0440003")</f>
        <v>http://enext.ua/l0440003</v>
      </c>
    </row>
    <row r="6381" spans="2:7" ht="22.5" outlineLevel="4" x14ac:dyDescent="0.2">
      <c r="B6381" s="14" t="s">
        <v>12023</v>
      </c>
      <c r="C6381" s="14" t="s">
        <v>12024</v>
      </c>
      <c r="D6381" s="14">
        <v>1</v>
      </c>
      <c r="E6381" s="15">
        <v>920.43</v>
      </c>
      <c r="F6381" s="16" t="s">
        <v>8</v>
      </c>
      <c r="G6381" s="38" t="str">
        <f>HYPERLINK("http://enext.ua/l0440004")</f>
        <v>http://enext.ua/l0440004</v>
      </c>
    </row>
    <row r="6382" spans="2:7" ht="22.5" outlineLevel="4" x14ac:dyDescent="0.2">
      <c r="B6382" s="14" t="s">
        <v>12025</v>
      </c>
      <c r="C6382" s="14" t="s">
        <v>12026</v>
      </c>
      <c r="D6382" s="14">
        <v>1</v>
      </c>
      <c r="E6382" s="17">
        <v>2398.5500000000002</v>
      </c>
      <c r="F6382" s="16" t="s">
        <v>8</v>
      </c>
      <c r="G6382" s="38" t="str">
        <f>HYPERLINK("http://enext.ua/l0440005")</f>
        <v>http://enext.ua/l0440005</v>
      </c>
    </row>
    <row r="6383" spans="2:7" ht="22.5" outlineLevel="4" x14ac:dyDescent="0.2">
      <c r="B6383" s="14" t="s">
        <v>12027</v>
      </c>
      <c r="C6383" s="14" t="s">
        <v>12028</v>
      </c>
      <c r="D6383" s="14">
        <v>1</v>
      </c>
      <c r="E6383" s="15">
        <v>441.1</v>
      </c>
      <c r="F6383" s="16" t="s">
        <v>8</v>
      </c>
      <c r="G6383" s="38" t="str">
        <f>HYPERLINK("http://enext.ua/l0430001")</f>
        <v>http://enext.ua/l0430001</v>
      </c>
    </row>
    <row r="6384" spans="2:7" ht="22.5" outlineLevel="4" x14ac:dyDescent="0.2">
      <c r="B6384" s="14" t="s">
        <v>12029</v>
      </c>
      <c r="C6384" s="14" t="s">
        <v>12030</v>
      </c>
      <c r="D6384" s="14">
        <v>1</v>
      </c>
      <c r="E6384" s="15">
        <v>506.55</v>
      </c>
      <c r="F6384" s="16" t="s">
        <v>8</v>
      </c>
      <c r="G6384" s="38" t="str">
        <f>HYPERLINK("http://enext.ua/l0430002")</f>
        <v>http://enext.ua/l0430002</v>
      </c>
    </row>
    <row r="6385" spans="2:7" ht="22.5" outlineLevel="4" x14ac:dyDescent="0.2">
      <c r="B6385" s="14" t="s">
        <v>12031</v>
      </c>
      <c r="C6385" s="14" t="s">
        <v>12032</v>
      </c>
      <c r="D6385" s="14">
        <v>1</v>
      </c>
      <c r="E6385" s="15">
        <v>710.88</v>
      </c>
      <c r="F6385" s="16" t="s">
        <v>8</v>
      </c>
      <c r="G6385" s="38" t="str">
        <f>HYPERLINK("http://enext.ua/l0430003")</f>
        <v>http://enext.ua/l0430003</v>
      </c>
    </row>
    <row r="6386" spans="2:7" ht="11.25" outlineLevel="4" x14ac:dyDescent="0.2">
      <c r="B6386" s="14" t="s">
        <v>12033</v>
      </c>
      <c r="C6386" s="14" t="s">
        <v>12034</v>
      </c>
      <c r="D6386" s="14">
        <v>1</v>
      </c>
      <c r="E6386" s="15">
        <v>872.03</v>
      </c>
      <c r="F6386" s="16" t="s">
        <v>8</v>
      </c>
      <c r="G6386" s="38" t="str">
        <f>HYPERLINK("http://enext.ua/l0430004")</f>
        <v>http://enext.ua/l0430004</v>
      </c>
    </row>
    <row r="6387" spans="2:7" ht="11.25" outlineLevel="4" x14ac:dyDescent="0.2">
      <c r="B6387" s="14" t="s">
        <v>12035</v>
      </c>
      <c r="C6387" s="14" t="s">
        <v>12036</v>
      </c>
      <c r="D6387" s="14">
        <v>1</v>
      </c>
      <c r="E6387" s="17">
        <v>1507.55</v>
      </c>
      <c r="F6387" s="16" t="s">
        <v>8</v>
      </c>
      <c r="G6387" s="38" t="str">
        <f>HYPERLINK("http://enext.ua/l0430005")</f>
        <v>http://enext.ua/l0430005</v>
      </c>
    </row>
    <row r="6388" spans="2:7" ht="11.25" outlineLevel="4" x14ac:dyDescent="0.2">
      <c r="B6388" s="14" t="s">
        <v>12037</v>
      </c>
      <c r="C6388" s="14" t="s">
        <v>12038</v>
      </c>
      <c r="D6388" s="14">
        <v>1</v>
      </c>
      <c r="E6388" s="17">
        <v>1681.82</v>
      </c>
      <c r="F6388" s="16" t="s">
        <v>8</v>
      </c>
      <c r="G6388" s="38" t="str">
        <f>HYPERLINK("http://enext.ua/l0430006")</f>
        <v>http://enext.ua/l0430006</v>
      </c>
    </row>
    <row r="6389" spans="2:7" ht="11.25" outlineLevel="4" x14ac:dyDescent="0.2">
      <c r="B6389" s="14" t="s">
        <v>12039</v>
      </c>
      <c r="C6389" s="14" t="s">
        <v>12040</v>
      </c>
      <c r="D6389" s="14">
        <v>1</v>
      </c>
      <c r="E6389" s="17">
        <v>2398.1799999999998</v>
      </c>
      <c r="F6389" s="16" t="s">
        <v>8</v>
      </c>
      <c r="G6389" s="38" t="str">
        <f>HYPERLINK("http://enext.ua/l0430007")</f>
        <v>http://enext.ua/l0430007</v>
      </c>
    </row>
    <row r="6390" spans="2:7" ht="12" outlineLevel="3" x14ac:dyDescent="0.2">
      <c r="B6390" s="10"/>
      <c r="C6390" s="36" t="s">
        <v>12041</v>
      </c>
      <c r="D6390" s="10"/>
      <c r="E6390" s="11"/>
      <c r="F6390" s="11"/>
      <c r="G6390" s="10"/>
    </row>
    <row r="6391" spans="2:7" ht="11.25" outlineLevel="4" x14ac:dyDescent="0.2">
      <c r="B6391" s="14" t="s">
        <v>12042</v>
      </c>
      <c r="C6391" s="14" t="s">
        <v>12043</v>
      </c>
      <c r="D6391" s="14">
        <v>12</v>
      </c>
      <c r="E6391" s="15">
        <v>25.03</v>
      </c>
      <c r="F6391" s="16" t="s">
        <v>8</v>
      </c>
      <c r="G6391" s="38" t="str">
        <f>HYPERLINK("http://enext.ua/s9100022")</f>
        <v>http://enext.ua/s9100022</v>
      </c>
    </row>
    <row r="6392" spans="2:7" ht="11.25" outlineLevel="4" x14ac:dyDescent="0.2">
      <c r="B6392" s="14" t="s">
        <v>12044</v>
      </c>
      <c r="C6392" s="14" t="s">
        <v>12045</v>
      </c>
      <c r="D6392" s="14">
        <v>12</v>
      </c>
      <c r="E6392" s="15">
        <v>32.450000000000003</v>
      </c>
      <c r="F6392" s="16" t="s">
        <v>8</v>
      </c>
      <c r="G6392" s="38" t="str">
        <f>HYPERLINK("http://enext.ua/s9100021")</f>
        <v>http://enext.ua/s9100021</v>
      </c>
    </row>
    <row r="6393" spans="2:7" ht="11.25" outlineLevel="4" x14ac:dyDescent="0.2">
      <c r="B6393" s="14" t="s">
        <v>12046</v>
      </c>
      <c r="C6393" s="14" t="s">
        <v>12047</v>
      </c>
      <c r="D6393" s="14">
        <v>24</v>
      </c>
      <c r="E6393" s="15">
        <v>55</v>
      </c>
      <c r="F6393" s="16" t="s">
        <v>8</v>
      </c>
      <c r="G6393" s="38" t="str">
        <f>HYPERLINK("http://enext.ua/s9100015")</f>
        <v>http://enext.ua/s9100015</v>
      </c>
    </row>
    <row r="6394" spans="2:7" ht="11.25" outlineLevel="4" x14ac:dyDescent="0.2">
      <c r="B6394" s="14" t="s">
        <v>12048</v>
      </c>
      <c r="C6394" s="14" t="s">
        <v>12049</v>
      </c>
      <c r="D6394" s="14">
        <v>25</v>
      </c>
      <c r="E6394" s="15">
        <v>50.6</v>
      </c>
      <c r="F6394" s="16" t="s">
        <v>8</v>
      </c>
      <c r="G6394" s="38" t="str">
        <f>HYPERLINK("http://enext.ua/s9100020")</f>
        <v>http://enext.ua/s9100020</v>
      </c>
    </row>
    <row r="6395" spans="2:7" ht="11.25" outlineLevel="4" x14ac:dyDescent="0.2">
      <c r="B6395" s="14" t="s">
        <v>12050</v>
      </c>
      <c r="C6395" s="14" t="s">
        <v>12051</v>
      </c>
      <c r="D6395" s="14">
        <v>10</v>
      </c>
      <c r="E6395" s="15">
        <v>14.58</v>
      </c>
      <c r="F6395" s="16" t="s">
        <v>8</v>
      </c>
      <c r="G6395" s="38" t="str">
        <f>HYPERLINK("http://enext.ua/s9100019")</f>
        <v>http://enext.ua/s9100019</v>
      </c>
    </row>
    <row r="6396" spans="2:7" ht="22.5" outlineLevel="4" x14ac:dyDescent="0.2">
      <c r="B6396" s="14" t="s">
        <v>12052</v>
      </c>
      <c r="C6396" s="14" t="s">
        <v>12053</v>
      </c>
      <c r="D6396" s="14">
        <v>12</v>
      </c>
      <c r="E6396" s="15">
        <v>14.58</v>
      </c>
      <c r="F6396" s="16" t="s">
        <v>8</v>
      </c>
      <c r="G6396" s="38" t="str">
        <f>HYPERLINK("http://enext.ua/s9100018")</f>
        <v>http://enext.ua/s9100018</v>
      </c>
    </row>
    <row r="6397" spans="2:7" ht="11.25" outlineLevel="4" x14ac:dyDescent="0.2">
      <c r="B6397" s="14" t="s">
        <v>12054</v>
      </c>
      <c r="C6397" s="14" t="s">
        <v>12055</v>
      </c>
      <c r="D6397" s="14">
        <v>50</v>
      </c>
      <c r="E6397" s="15">
        <v>8.5299999999999994</v>
      </c>
      <c r="F6397" s="16" t="s">
        <v>8</v>
      </c>
      <c r="G6397" s="38" t="str">
        <f>HYPERLINK("http://enext.ua/s9100006")</f>
        <v>http://enext.ua/s9100006</v>
      </c>
    </row>
    <row r="6398" spans="2:7" ht="11.25" outlineLevel="4" x14ac:dyDescent="0.2">
      <c r="B6398" s="14" t="s">
        <v>12056</v>
      </c>
      <c r="C6398" s="14" t="s">
        <v>12057</v>
      </c>
      <c r="D6398" s="14">
        <v>50</v>
      </c>
      <c r="E6398" s="15">
        <v>15.13</v>
      </c>
      <c r="F6398" s="16" t="s">
        <v>8</v>
      </c>
      <c r="G6398" s="38" t="str">
        <f>HYPERLINK("http://enext.ua/s9100008")</f>
        <v>http://enext.ua/s9100008</v>
      </c>
    </row>
    <row r="6399" spans="2:7" ht="11.25" outlineLevel="4" x14ac:dyDescent="0.2">
      <c r="B6399" s="14" t="s">
        <v>12058</v>
      </c>
      <c r="C6399" s="14" t="s">
        <v>12059</v>
      </c>
      <c r="D6399" s="14">
        <v>50</v>
      </c>
      <c r="E6399" s="15">
        <v>11.55</v>
      </c>
      <c r="F6399" s="16" t="s">
        <v>8</v>
      </c>
      <c r="G6399" s="38" t="str">
        <f>HYPERLINK("http://enext.ua/s9100007")</f>
        <v>http://enext.ua/s9100007</v>
      </c>
    </row>
    <row r="6400" spans="2:7" ht="11.25" outlineLevel="4" x14ac:dyDescent="0.2">
      <c r="B6400" s="14" t="s">
        <v>12060</v>
      </c>
      <c r="C6400" s="14" t="s">
        <v>12061</v>
      </c>
      <c r="D6400" s="14">
        <v>50</v>
      </c>
      <c r="E6400" s="15">
        <v>11.55</v>
      </c>
      <c r="F6400" s="16" t="s">
        <v>8</v>
      </c>
      <c r="G6400" s="14"/>
    </row>
    <row r="6401" spans="2:7" ht="11.25" outlineLevel="4" x14ac:dyDescent="0.2">
      <c r="B6401" s="14" t="s">
        <v>12062</v>
      </c>
      <c r="C6401" s="14" t="s">
        <v>12063</v>
      </c>
      <c r="D6401" s="14">
        <v>50</v>
      </c>
      <c r="E6401" s="15">
        <v>6.88</v>
      </c>
      <c r="F6401" s="16" t="s">
        <v>8</v>
      </c>
      <c r="G6401" s="38" t="str">
        <f>HYPERLINK("http://enext.ua/s9100010")</f>
        <v>http://enext.ua/s9100010</v>
      </c>
    </row>
    <row r="6402" spans="2:7" ht="11.25" outlineLevel="4" x14ac:dyDescent="0.2">
      <c r="B6402" s="14" t="s">
        <v>12064</v>
      </c>
      <c r="C6402" s="14" t="s">
        <v>12065</v>
      </c>
      <c r="D6402" s="14">
        <v>50</v>
      </c>
      <c r="E6402" s="15">
        <v>9.9</v>
      </c>
      <c r="F6402" s="16" t="s">
        <v>8</v>
      </c>
      <c r="G6402" s="38" t="str">
        <f>HYPERLINK("http://enext.ua/s9100009")</f>
        <v>http://enext.ua/s9100009</v>
      </c>
    </row>
    <row r="6403" spans="2:7" ht="11.25" outlineLevel="4" x14ac:dyDescent="0.2">
      <c r="B6403" s="14" t="s">
        <v>12066</v>
      </c>
      <c r="C6403" s="14" t="s">
        <v>12067</v>
      </c>
      <c r="D6403" s="14">
        <v>50</v>
      </c>
      <c r="E6403" s="15">
        <v>9.9</v>
      </c>
      <c r="F6403" s="16" t="s">
        <v>8</v>
      </c>
      <c r="G6403" s="38" t="str">
        <f>HYPERLINK("http://enext.ua/s9100017")</f>
        <v>http://enext.ua/s9100017</v>
      </c>
    </row>
    <row r="6404" spans="2:7" ht="11.25" outlineLevel="4" x14ac:dyDescent="0.2">
      <c r="B6404" s="14" t="s">
        <v>12068</v>
      </c>
      <c r="C6404" s="14" t="s">
        <v>12069</v>
      </c>
      <c r="D6404" s="14">
        <v>200</v>
      </c>
      <c r="E6404" s="15">
        <v>4.13</v>
      </c>
      <c r="F6404" s="16" t="s">
        <v>8</v>
      </c>
      <c r="G6404" s="38" t="str">
        <f>HYPERLINK("http://enext.ua/s9100012")</f>
        <v>http://enext.ua/s9100012</v>
      </c>
    </row>
    <row r="6405" spans="2:7" ht="11.25" outlineLevel="4" x14ac:dyDescent="0.2">
      <c r="B6405" s="14" t="s">
        <v>12070</v>
      </c>
      <c r="C6405" s="14" t="s">
        <v>12071</v>
      </c>
      <c r="D6405" s="14">
        <v>100</v>
      </c>
      <c r="E6405" s="15">
        <v>7.85</v>
      </c>
      <c r="F6405" s="16" t="s">
        <v>8</v>
      </c>
      <c r="G6405" s="38" t="str">
        <f>HYPERLINK("http://enext.ua/s9100011")</f>
        <v>http://enext.ua/s9100011</v>
      </c>
    </row>
    <row r="6406" spans="2:7" ht="11.25" outlineLevel="4" x14ac:dyDescent="0.2">
      <c r="B6406" s="14" t="s">
        <v>12072</v>
      </c>
      <c r="C6406" s="14" t="s">
        <v>12073</v>
      </c>
      <c r="D6406" s="14">
        <v>40</v>
      </c>
      <c r="E6406" s="15">
        <v>5.5</v>
      </c>
      <c r="F6406" s="16" t="s">
        <v>8</v>
      </c>
      <c r="G6406" s="38" t="str">
        <f>HYPERLINK("http://enext.ua/s9100013")</f>
        <v>http://enext.ua/s9100013</v>
      </c>
    </row>
    <row r="6407" spans="2:7" ht="11.25" outlineLevel="4" x14ac:dyDescent="0.2">
      <c r="B6407" s="14" t="s">
        <v>12074</v>
      </c>
      <c r="C6407" s="14" t="s">
        <v>12075</v>
      </c>
      <c r="D6407" s="14">
        <v>50</v>
      </c>
      <c r="E6407" s="15">
        <v>7.98</v>
      </c>
      <c r="F6407" s="16" t="s">
        <v>8</v>
      </c>
      <c r="G6407" s="38" t="str">
        <f>HYPERLINK("http://enext.ua/s9100014")</f>
        <v>http://enext.ua/s9100014</v>
      </c>
    </row>
    <row r="6408" spans="2:7" ht="11.25" outlineLevel="4" x14ac:dyDescent="0.2">
      <c r="B6408" s="14" t="s">
        <v>12076</v>
      </c>
      <c r="C6408" s="14" t="s">
        <v>12077</v>
      </c>
      <c r="D6408" s="14">
        <v>1</v>
      </c>
      <c r="E6408" s="15">
        <v>5.28</v>
      </c>
      <c r="F6408" s="16" t="s">
        <v>8</v>
      </c>
      <c r="G6408" s="14"/>
    </row>
    <row r="6409" spans="2:7" ht="11.25" outlineLevel="4" x14ac:dyDescent="0.2">
      <c r="B6409" s="14" t="s">
        <v>12078</v>
      </c>
      <c r="C6409" s="14" t="s">
        <v>12079</v>
      </c>
      <c r="D6409" s="14">
        <v>40</v>
      </c>
      <c r="E6409" s="15">
        <v>5.5</v>
      </c>
      <c r="F6409" s="16" t="s">
        <v>8</v>
      </c>
      <c r="G6409" s="14"/>
    </row>
    <row r="6410" spans="2:7" ht="11.25" outlineLevel="4" x14ac:dyDescent="0.2">
      <c r="B6410" s="14" t="s">
        <v>12080</v>
      </c>
      <c r="C6410" s="14" t="s">
        <v>12081</v>
      </c>
      <c r="D6410" s="14">
        <v>1</v>
      </c>
      <c r="E6410" s="15">
        <v>31.58</v>
      </c>
      <c r="F6410" s="16" t="s">
        <v>8</v>
      </c>
      <c r="G6410" s="38" t="str">
        <f>HYPERLINK("http://enext.ua/s9100056")</f>
        <v>http://enext.ua/s9100056</v>
      </c>
    </row>
    <row r="6411" spans="2:7" ht="12" outlineLevel="3" x14ac:dyDescent="0.2">
      <c r="B6411" s="10"/>
      <c r="C6411" s="36" t="s">
        <v>12082</v>
      </c>
      <c r="D6411" s="10"/>
      <c r="E6411" s="11"/>
      <c r="F6411" s="11"/>
      <c r="G6411" s="10"/>
    </row>
    <row r="6412" spans="2:7" ht="11.25" outlineLevel="4" x14ac:dyDescent="0.2">
      <c r="B6412" s="14" t="s">
        <v>12083</v>
      </c>
      <c r="C6412" s="14" t="s">
        <v>12084</v>
      </c>
      <c r="D6412" s="14">
        <v>50</v>
      </c>
      <c r="E6412" s="15">
        <v>11.55</v>
      </c>
      <c r="F6412" s="16" t="s">
        <v>8</v>
      </c>
      <c r="G6412" s="38" t="str">
        <f>HYPERLINK("http://enext.ua/l020002")</f>
        <v>http://enext.ua/l020002</v>
      </c>
    </row>
    <row r="6413" spans="2:7" ht="11.25" outlineLevel="4" x14ac:dyDescent="0.2">
      <c r="B6413" s="14" t="s">
        <v>12085</v>
      </c>
      <c r="C6413" s="14" t="s">
        <v>12086</v>
      </c>
      <c r="D6413" s="14">
        <v>50</v>
      </c>
      <c r="E6413" s="15">
        <v>11.55</v>
      </c>
      <c r="F6413" s="16" t="s">
        <v>8</v>
      </c>
      <c r="G6413" s="38" t="str">
        <f>HYPERLINK("http://enext.ua/l020001")</f>
        <v>http://enext.ua/l020001</v>
      </c>
    </row>
    <row r="6414" spans="2:7" ht="11.25" outlineLevel="4" x14ac:dyDescent="0.2">
      <c r="B6414" s="14" t="s">
        <v>12087</v>
      </c>
      <c r="C6414" s="14" t="s">
        <v>12088</v>
      </c>
      <c r="D6414" s="14">
        <v>10</v>
      </c>
      <c r="E6414" s="15">
        <v>50.6</v>
      </c>
      <c r="F6414" s="16" t="s">
        <v>8</v>
      </c>
      <c r="G6414" s="38" t="str">
        <f>HYPERLINK("http://enext.ua/l020003")</f>
        <v>http://enext.ua/l020003</v>
      </c>
    </row>
    <row r="6415" spans="2:7" ht="12" outlineLevel="1" x14ac:dyDescent="0.2">
      <c r="B6415" s="6"/>
      <c r="C6415" s="34" t="s">
        <v>12089</v>
      </c>
      <c r="D6415" s="6"/>
      <c r="E6415" s="7"/>
      <c r="F6415" s="7"/>
      <c r="G6415" s="6"/>
    </row>
    <row r="6416" spans="2:7" ht="12" outlineLevel="2" x14ac:dyDescent="0.2">
      <c r="B6416" s="8"/>
      <c r="C6416" s="35" t="s">
        <v>12090</v>
      </c>
      <c r="D6416" s="8"/>
      <c r="E6416" s="9"/>
      <c r="F6416" s="9"/>
      <c r="G6416" s="8"/>
    </row>
    <row r="6417" spans="2:7" ht="22.5" outlineLevel="3" x14ac:dyDescent="0.2">
      <c r="B6417" s="14" t="s">
        <v>12091</v>
      </c>
      <c r="C6417" s="14" t="s">
        <v>12092</v>
      </c>
      <c r="D6417" s="14">
        <v>10</v>
      </c>
      <c r="E6417" s="15">
        <v>215.02</v>
      </c>
      <c r="F6417" s="16" t="s">
        <v>8</v>
      </c>
      <c r="G6417" s="38" t="str">
        <f>HYPERLINK("http://enext.ua/t003004")</f>
        <v>http://enext.ua/t003004</v>
      </c>
    </row>
    <row r="6418" spans="2:7" ht="22.5" outlineLevel="3" x14ac:dyDescent="0.2">
      <c r="B6418" s="14" t="s">
        <v>12093</v>
      </c>
      <c r="C6418" s="14" t="s">
        <v>12094</v>
      </c>
      <c r="D6418" s="14">
        <v>25</v>
      </c>
      <c r="E6418" s="15">
        <v>277.77999999999997</v>
      </c>
      <c r="F6418" s="16" t="s">
        <v>8</v>
      </c>
      <c r="G6418" s="38" t="str">
        <f>HYPERLINK("http://enext.ua/t003005")</f>
        <v>http://enext.ua/t003005</v>
      </c>
    </row>
    <row r="6419" spans="2:7" ht="22.5" outlineLevel="3" x14ac:dyDescent="0.2">
      <c r="B6419" s="14" t="s">
        <v>12095</v>
      </c>
      <c r="C6419" s="14" t="s">
        <v>12096</v>
      </c>
      <c r="D6419" s="14">
        <v>1</v>
      </c>
      <c r="E6419" s="15">
        <v>342.29</v>
      </c>
      <c r="F6419" s="16" t="s">
        <v>8</v>
      </c>
      <c r="G6419" s="38" t="str">
        <f>HYPERLINK("http://enext.ua/t003006")</f>
        <v>http://enext.ua/t003006</v>
      </c>
    </row>
    <row r="6420" spans="2:7" ht="22.5" outlineLevel="3" x14ac:dyDescent="0.2">
      <c r="B6420" s="14" t="s">
        <v>12097</v>
      </c>
      <c r="C6420" s="14" t="s">
        <v>12098</v>
      </c>
      <c r="D6420" s="14">
        <v>10</v>
      </c>
      <c r="E6420" s="15">
        <v>714.79</v>
      </c>
      <c r="F6420" s="16" t="s">
        <v>8</v>
      </c>
      <c r="G6420" s="38" t="str">
        <f>HYPERLINK("http://enext.ua/t003003")</f>
        <v>http://enext.ua/t003003</v>
      </c>
    </row>
    <row r="6421" spans="2:7" ht="22.5" outlineLevel="3" x14ac:dyDescent="0.2">
      <c r="B6421" s="14" t="s">
        <v>12099</v>
      </c>
      <c r="C6421" s="14" t="s">
        <v>12100</v>
      </c>
      <c r="D6421" s="14">
        <v>1</v>
      </c>
      <c r="E6421" s="17">
        <v>1120.1400000000001</v>
      </c>
      <c r="F6421" s="16" t="s">
        <v>8</v>
      </c>
      <c r="G6421" s="38" t="str">
        <f>HYPERLINK("http://enext.ua/t003001")</f>
        <v>http://enext.ua/t003001</v>
      </c>
    </row>
    <row r="6422" spans="2:7" ht="22.5" outlineLevel="3" x14ac:dyDescent="0.2">
      <c r="B6422" s="14" t="s">
        <v>12101</v>
      </c>
      <c r="C6422" s="14" t="s">
        <v>12102</v>
      </c>
      <c r="D6422" s="14">
        <v>1</v>
      </c>
      <c r="E6422" s="17">
        <v>2581.9699999999998</v>
      </c>
      <c r="F6422" s="16" t="s">
        <v>8</v>
      </c>
      <c r="G6422" s="38" t="str">
        <f>HYPERLINK("http://enext.ua/t003002")</f>
        <v>http://enext.ua/t003002</v>
      </c>
    </row>
    <row r="6423" spans="2:7" ht="11.25" outlineLevel="3" x14ac:dyDescent="0.2">
      <c r="B6423" s="14" t="s">
        <v>12103</v>
      </c>
      <c r="C6423" s="14" t="s">
        <v>12104</v>
      </c>
      <c r="D6423" s="14">
        <v>10</v>
      </c>
      <c r="E6423" s="15">
        <v>213.86</v>
      </c>
      <c r="F6423" s="16" t="s">
        <v>8</v>
      </c>
      <c r="G6423" s="38" t="str">
        <f>HYPERLINK("http://enext.ua/t003007")</f>
        <v>http://enext.ua/t003007</v>
      </c>
    </row>
    <row r="6424" spans="2:7" ht="12" outlineLevel="2" x14ac:dyDescent="0.2">
      <c r="B6424" s="8"/>
      <c r="C6424" s="35" t="s">
        <v>12105</v>
      </c>
      <c r="D6424" s="8"/>
      <c r="E6424" s="9"/>
      <c r="F6424" s="9"/>
      <c r="G6424" s="8"/>
    </row>
    <row r="6425" spans="2:7" ht="11.25" outlineLevel="3" x14ac:dyDescent="0.2">
      <c r="B6425" s="14" t="s">
        <v>12106</v>
      </c>
      <c r="C6425" s="14" t="s">
        <v>12107</v>
      </c>
      <c r="D6425" s="14">
        <v>1</v>
      </c>
      <c r="E6425" s="15">
        <v>193.81</v>
      </c>
      <c r="F6425" s="16" t="s">
        <v>8</v>
      </c>
      <c r="G6425" s="38" t="str">
        <f>HYPERLINK("http://enext.ua/t004005")</f>
        <v>http://enext.ua/t004005</v>
      </c>
    </row>
    <row r="6426" spans="2:7" ht="11.25" outlineLevel="3" x14ac:dyDescent="0.2">
      <c r="B6426" s="14" t="s">
        <v>12108</v>
      </c>
      <c r="C6426" s="14" t="s">
        <v>12109</v>
      </c>
      <c r="D6426" s="14">
        <v>10</v>
      </c>
      <c r="E6426" s="15">
        <v>159.53</v>
      </c>
      <c r="F6426" s="16" t="s">
        <v>8</v>
      </c>
      <c r="G6426" s="38" t="str">
        <f>HYPERLINK("http://enext.ua/t004006")</f>
        <v>http://enext.ua/t004006</v>
      </c>
    </row>
    <row r="6427" spans="2:7" ht="22.5" outlineLevel="3" x14ac:dyDescent="0.2">
      <c r="B6427" s="14" t="s">
        <v>12110</v>
      </c>
      <c r="C6427" s="14" t="s">
        <v>12111</v>
      </c>
      <c r="D6427" s="14">
        <v>1</v>
      </c>
      <c r="E6427" s="15">
        <v>148.47999999999999</v>
      </c>
      <c r="F6427" s="16" t="s">
        <v>8</v>
      </c>
      <c r="G6427" s="38" t="str">
        <f>HYPERLINK("http://enext.ua/t004007")</f>
        <v>http://enext.ua/t004007</v>
      </c>
    </row>
    <row r="6428" spans="2:7" ht="22.5" outlineLevel="3" x14ac:dyDescent="0.2">
      <c r="B6428" s="14" t="s">
        <v>12112</v>
      </c>
      <c r="C6428" s="14" t="s">
        <v>12113</v>
      </c>
      <c r="D6428" s="14">
        <v>1</v>
      </c>
      <c r="E6428" s="15">
        <v>154.88</v>
      </c>
      <c r="F6428" s="16" t="s">
        <v>8</v>
      </c>
      <c r="G6428" s="38" t="str">
        <f>HYPERLINK("http://enext.ua/t004008")</f>
        <v>http://enext.ua/t004008</v>
      </c>
    </row>
    <row r="6429" spans="2:7" ht="11.25" outlineLevel="3" x14ac:dyDescent="0.2">
      <c r="B6429" s="14" t="s">
        <v>12114</v>
      </c>
      <c r="C6429" s="14" t="s">
        <v>12115</v>
      </c>
      <c r="D6429" s="14">
        <v>5</v>
      </c>
      <c r="E6429" s="15">
        <v>268.77999999999997</v>
      </c>
      <c r="F6429" s="16" t="s">
        <v>8</v>
      </c>
      <c r="G6429" s="38" t="str">
        <f>HYPERLINK("http://enext.ua/t004001")</f>
        <v>http://enext.ua/t004001</v>
      </c>
    </row>
    <row r="6430" spans="2:7" ht="11.25" outlineLevel="3" x14ac:dyDescent="0.2">
      <c r="B6430" s="14" t="s">
        <v>12116</v>
      </c>
      <c r="C6430" s="14" t="s">
        <v>12117</v>
      </c>
      <c r="D6430" s="14">
        <v>5</v>
      </c>
      <c r="E6430" s="15">
        <v>299.58</v>
      </c>
      <c r="F6430" s="16" t="s">
        <v>8</v>
      </c>
      <c r="G6430" s="38" t="str">
        <f>HYPERLINK("http://enext.ua/t004002")</f>
        <v>http://enext.ua/t004002</v>
      </c>
    </row>
    <row r="6431" spans="2:7" ht="22.5" outlineLevel="3" x14ac:dyDescent="0.2">
      <c r="B6431" s="14" t="s">
        <v>12118</v>
      </c>
      <c r="C6431" s="14" t="s">
        <v>12119</v>
      </c>
      <c r="D6431" s="14">
        <v>5</v>
      </c>
      <c r="E6431" s="15">
        <v>295.8</v>
      </c>
      <c r="F6431" s="16" t="s">
        <v>8</v>
      </c>
      <c r="G6431" s="38" t="str">
        <f>HYPERLINK("http://enext.ua/t004004")</f>
        <v>http://enext.ua/t004004</v>
      </c>
    </row>
    <row r="6432" spans="2:7" ht="11.25" outlineLevel="3" x14ac:dyDescent="0.2">
      <c r="B6432" s="14" t="s">
        <v>12120</v>
      </c>
      <c r="C6432" s="14" t="s">
        <v>12121</v>
      </c>
      <c r="D6432" s="14">
        <v>5</v>
      </c>
      <c r="E6432" s="15">
        <v>259.48</v>
      </c>
      <c r="F6432" s="16" t="s">
        <v>8</v>
      </c>
      <c r="G6432" s="38" t="str">
        <f>HYPERLINK("http://enext.ua/t004003")</f>
        <v>http://enext.ua/t004003</v>
      </c>
    </row>
    <row r="6433" spans="2:7" ht="12" outlineLevel="2" x14ac:dyDescent="0.2">
      <c r="B6433" s="8"/>
      <c r="C6433" s="35" t="s">
        <v>12122</v>
      </c>
      <c r="D6433" s="8"/>
      <c r="E6433" s="9"/>
      <c r="F6433" s="9"/>
      <c r="G6433" s="8"/>
    </row>
    <row r="6434" spans="2:7" ht="22.5" outlineLevel="3" x14ac:dyDescent="0.2">
      <c r="B6434" s="14" t="s">
        <v>12123</v>
      </c>
      <c r="C6434" s="14" t="s">
        <v>12124</v>
      </c>
      <c r="D6434" s="14">
        <v>10</v>
      </c>
      <c r="E6434" s="15">
        <v>512.55999999999995</v>
      </c>
      <c r="F6434" s="16" t="s">
        <v>8</v>
      </c>
      <c r="G6434" s="38" t="str">
        <f>HYPERLINK("http://enext.ua/t002001")</f>
        <v>http://enext.ua/t002001</v>
      </c>
    </row>
    <row r="6435" spans="2:7" ht="22.5" outlineLevel="3" x14ac:dyDescent="0.2">
      <c r="B6435" s="14" t="s">
        <v>12125</v>
      </c>
      <c r="C6435" s="14" t="s">
        <v>12126</v>
      </c>
      <c r="D6435" s="14">
        <v>10</v>
      </c>
      <c r="E6435" s="15">
        <v>471.88</v>
      </c>
      <c r="F6435" s="16" t="s">
        <v>8</v>
      </c>
      <c r="G6435" s="38" t="str">
        <f>HYPERLINK("http://enext.ua/t002003")</f>
        <v>http://enext.ua/t002003</v>
      </c>
    </row>
    <row r="6436" spans="2:7" ht="22.5" outlineLevel="3" x14ac:dyDescent="0.2">
      <c r="B6436" s="14" t="s">
        <v>12127</v>
      </c>
      <c r="C6436" s="14" t="s">
        <v>12128</v>
      </c>
      <c r="D6436" s="14">
        <v>10</v>
      </c>
      <c r="E6436" s="15">
        <v>460.55</v>
      </c>
      <c r="F6436" s="16" t="s">
        <v>8</v>
      </c>
      <c r="G6436" s="38" t="str">
        <f>HYPERLINK("http://enext.ua/t002004")</f>
        <v>http://enext.ua/t002004</v>
      </c>
    </row>
    <row r="6437" spans="2:7" ht="22.5" outlineLevel="3" x14ac:dyDescent="0.2">
      <c r="B6437" s="14" t="s">
        <v>12129</v>
      </c>
      <c r="C6437" s="14" t="s">
        <v>12130</v>
      </c>
      <c r="D6437" s="14">
        <v>10</v>
      </c>
      <c r="E6437" s="15">
        <v>435.27</v>
      </c>
      <c r="F6437" s="16" t="s">
        <v>8</v>
      </c>
      <c r="G6437" s="38" t="str">
        <f>HYPERLINK("http://enext.ua/t002002")</f>
        <v>http://enext.ua/t002002</v>
      </c>
    </row>
    <row r="6438" spans="2:7" ht="22.5" outlineLevel="3" x14ac:dyDescent="0.2">
      <c r="B6438" s="14" t="s">
        <v>12131</v>
      </c>
      <c r="C6438" s="14" t="s">
        <v>12132</v>
      </c>
      <c r="D6438" s="14">
        <v>10</v>
      </c>
      <c r="E6438" s="15">
        <v>483.8</v>
      </c>
      <c r="F6438" s="16" t="s">
        <v>8</v>
      </c>
      <c r="G6438" s="38" t="str">
        <f>HYPERLINK("http://enext.ua/t002005")</f>
        <v>http://enext.ua/t002005</v>
      </c>
    </row>
    <row r="6439" spans="2:7" ht="22.5" outlineLevel="3" x14ac:dyDescent="0.2">
      <c r="B6439" s="14" t="s">
        <v>12133</v>
      </c>
      <c r="C6439" s="14" t="s">
        <v>12134</v>
      </c>
      <c r="D6439" s="14">
        <v>1</v>
      </c>
      <c r="E6439" s="17">
        <v>1093.69</v>
      </c>
      <c r="F6439" s="16" t="s">
        <v>8</v>
      </c>
      <c r="G6439" s="38" t="str">
        <f>HYPERLINK("http://enext.ua/t002009")</f>
        <v>http://enext.ua/t002009</v>
      </c>
    </row>
    <row r="6440" spans="2:7" ht="22.5" outlineLevel="3" x14ac:dyDescent="0.2">
      <c r="B6440" s="14" t="s">
        <v>12135</v>
      </c>
      <c r="C6440" s="14" t="s">
        <v>12136</v>
      </c>
      <c r="D6440" s="14">
        <v>1</v>
      </c>
      <c r="E6440" s="17">
        <v>1120.1400000000001</v>
      </c>
      <c r="F6440" s="16" t="s">
        <v>8</v>
      </c>
      <c r="G6440" s="38" t="str">
        <f>HYPERLINK("http://enext.ua/t002010")</f>
        <v>http://enext.ua/t002010</v>
      </c>
    </row>
    <row r="6441" spans="2:7" ht="22.5" outlineLevel="3" x14ac:dyDescent="0.2">
      <c r="B6441" s="14" t="s">
        <v>12137</v>
      </c>
      <c r="C6441" s="14" t="s">
        <v>12138</v>
      </c>
      <c r="D6441" s="14">
        <v>10</v>
      </c>
      <c r="E6441" s="15">
        <v>603.22</v>
      </c>
      <c r="F6441" s="16" t="s">
        <v>8</v>
      </c>
      <c r="G6441" s="38" t="str">
        <f>HYPERLINK("http://enext.ua/t002008")</f>
        <v>http://enext.ua/t002008</v>
      </c>
    </row>
    <row r="6442" spans="2:7" ht="22.5" outlineLevel="3" x14ac:dyDescent="0.2">
      <c r="B6442" s="14" t="s">
        <v>12139</v>
      </c>
      <c r="C6442" s="14" t="s">
        <v>12140</v>
      </c>
      <c r="D6442" s="14">
        <v>1</v>
      </c>
      <c r="E6442" s="17">
        <v>1109.3800000000001</v>
      </c>
      <c r="F6442" s="16" t="s">
        <v>8</v>
      </c>
      <c r="G6442" s="38" t="str">
        <f>HYPERLINK("http://enext.ua/t002007")</f>
        <v>http://enext.ua/t002007</v>
      </c>
    </row>
    <row r="6443" spans="2:7" ht="22.5" outlineLevel="3" x14ac:dyDescent="0.2">
      <c r="B6443" s="14" t="s">
        <v>12141</v>
      </c>
      <c r="C6443" s="14" t="s">
        <v>12142</v>
      </c>
      <c r="D6443" s="14">
        <v>1</v>
      </c>
      <c r="E6443" s="17">
        <v>2503.52</v>
      </c>
      <c r="F6443" s="16" t="s">
        <v>8</v>
      </c>
      <c r="G6443" s="38" t="str">
        <f>HYPERLINK("http://enext.ua/t002012")</f>
        <v>http://enext.ua/t002012</v>
      </c>
    </row>
    <row r="6444" spans="2:7" ht="22.5" outlineLevel="3" x14ac:dyDescent="0.2">
      <c r="B6444" s="14" t="s">
        <v>12143</v>
      </c>
      <c r="C6444" s="14" t="s">
        <v>12144</v>
      </c>
      <c r="D6444" s="14">
        <v>1</v>
      </c>
      <c r="E6444" s="17">
        <v>2680.76</v>
      </c>
      <c r="F6444" s="16" t="s">
        <v>8</v>
      </c>
      <c r="G6444" s="38" t="str">
        <f>HYPERLINK("http://enext.ua/t002013")</f>
        <v>http://enext.ua/t002013</v>
      </c>
    </row>
    <row r="6445" spans="2:7" ht="22.5" outlineLevel="3" x14ac:dyDescent="0.2">
      <c r="B6445" s="14" t="s">
        <v>12145</v>
      </c>
      <c r="C6445" s="14" t="s">
        <v>12146</v>
      </c>
      <c r="D6445" s="14">
        <v>1</v>
      </c>
      <c r="E6445" s="17">
        <v>3424.03</v>
      </c>
      <c r="F6445" s="16" t="s">
        <v>8</v>
      </c>
      <c r="G6445" s="38" t="str">
        <f>HYPERLINK("http://enext.ua/t002014")</f>
        <v>http://enext.ua/t002014</v>
      </c>
    </row>
    <row r="6446" spans="2:7" ht="11.25" outlineLevel="3" x14ac:dyDescent="0.2">
      <c r="B6446" s="14" t="s">
        <v>12147</v>
      </c>
      <c r="C6446" s="14" t="s">
        <v>12148</v>
      </c>
      <c r="D6446" s="14">
        <v>1</v>
      </c>
      <c r="E6446" s="17">
        <v>1250.8900000000001</v>
      </c>
      <c r="F6446" s="16" t="s">
        <v>8</v>
      </c>
      <c r="G6446" s="38" t="str">
        <f>HYPERLINK("http://enext.ua/t002011")</f>
        <v>http://enext.ua/t002011</v>
      </c>
    </row>
    <row r="6447" spans="2:7" ht="22.5" outlineLevel="3" x14ac:dyDescent="0.2">
      <c r="B6447" s="14" t="s">
        <v>12149</v>
      </c>
      <c r="C6447" s="14" t="s">
        <v>12150</v>
      </c>
      <c r="D6447" s="14">
        <v>10</v>
      </c>
      <c r="E6447" s="15">
        <v>256.86</v>
      </c>
      <c r="F6447" s="16" t="s">
        <v>8</v>
      </c>
      <c r="G6447" s="38" t="str">
        <f>HYPERLINK("http://enext.ua/t002006")</f>
        <v>http://enext.ua/t002006</v>
      </c>
    </row>
    <row r="6448" spans="2:7" ht="11.25" outlineLevel="3" x14ac:dyDescent="0.2">
      <c r="B6448" s="14" t="s">
        <v>12151</v>
      </c>
      <c r="C6448" s="14" t="s">
        <v>12152</v>
      </c>
      <c r="D6448" s="14">
        <v>10</v>
      </c>
      <c r="E6448" s="15">
        <v>231.29</v>
      </c>
      <c r="F6448" s="16" t="s">
        <v>8</v>
      </c>
      <c r="G6448" s="38" t="str">
        <f>HYPERLINK("http://enext.ua/t002016")</f>
        <v>http://enext.ua/t002016</v>
      </c>
    </row>
    <row r="6449" spans="2:7" ht="11.25" outlineLevel="3" x14ac:dyDescent="0.2">
      <c r="B6449" s="14" t="s">
        <v>12153</v>
      </c>
      <c r="C6449" s="14" t="s">
        <v>12154</v>
      </c>
      <c r="D6449" s="14">
        <v>10</v>
      </c>
      <c r="E6449" s="15">
        <v>921.97</v>
      </c>
      <c r="F6449" s="16" t="s">
        <v>8</v>
      </c>
      <c r="G6449" s="38" t="str">
        <f>HYPERLINK("http://enext.ua/t002015")</f>
        <v>http://enext.ua/t002015</v>
      </c>
    </row>
    <row r="6450" spans="2:7" ht="11.25" outlineLevel="3" x14ac:dyDescent="0.2">
      <c r="B6450" s="14" t="s">
        <v>12155</v>
      </c>
      <c r="C6450" s="14" t="s">
        <v>12156</v>
      </c>
      <c r="D6450" s="14">
        <v>1</v>
      </c>
      <c r="E6450" s="17">
        <v>6919.84</v>
      </c>
      <c r="F6450" s="16" t="s">
        <v>8</v>
      </c>
      <c r="G6450" s="38" t="str">
        <f>HYPERLINK("http://enext.ua/t002017")</f>
        <v>http://enext.ua/t002017</v>
      </c>
    </row>
    <row r="6451" spans="2:7" ht="11.25" outlineLevel="3" x14ac:dyDescent="0.2">
      <c r="B6451" s="14" t="s">
        <v>12157</v>
      </c>
      <c r="C6451" s="14" t="s">
        <v>12158</v>
      </c>
      <c r="D6451" s="14">
        <v>10</v>
      </c>
      <c r="E6451" s="17">
        <v>1145.25</v>
      </c>
      <c r="F6451" s="16" t="s">
        <v>8</v>
      </c>
      <c r="G6451" s="38" t="str">
        <f>HYPERLINK("http://enext.ua/t002018")</f>
        <v>http://enext.ua/t002018</v>
      </c>
    </row>
    <row r="6452" spans="2:7" ht="12" outlineLevel="2" x14ac:dyDescent="0.2">
      <c r="B6452" s="8"/>
      <c r="C6452" s="35" t="s">
        <v>12159</v>
      </c>
      <c r="D6452" s="8"/>
      <c r="E6452" s="9"/>
      <c r="F6452" s="9"/>
      <c r="G6452" s="8"/>
    </row>
    <row r="6453" spans="2:7" ht="22.5" outlineLevel="3" x14ac:dyDescent="0.2">
      <c r="B6453" s="14" t="s">
        <v>12160</v>
      </c>
      <c r="C6453" s="14" t="s">
        <v>12161</v>
      </c>
      <c r="D6453" s="14">
        <v>10</v>
      </c>
      <c r="E6453" s="15">
        <v>286.20999999999998</v>
      </c>
      <c r="F6453" s="16" t="s">
        <v>8</v>
      </c>
      <c r="G6453" s="38" t="str">
        <f>HYPERLINK("http://enext.ua/t007002")</f>
        <v>http://enext.ua/t007002</v>
      </c>
    </row>
    <row r="6454" spans="2:7" ht="11.25" outlineLevel="3" x14ac:dyDescent="0.2">
      <c r="B6454" s="14" t="s">
        <v>12162</v>
      </c>
      <c r="C6454" s="14" t="s">
        <v>12163</v>
      </c>
      <c r="D6454" s="14">
        <v>1</v>
      </c>
      <c r="E6454" s="15">
        <v>404.18</v>
      </c>
      <c r="F6454" s="16" t="s">
        <v>8</v>
      </c>
      <c r="G6454" s="38" t="str">
        <f>HYPERLINK("http://enext.ua/t007003")</f>
        <v>http://enext.ua/t007003</v>
      </c>
    </row>
    <row r="6455" spans="2:7" ht="12" outlineLevel="2" x14ac:dyDescent="0.2">
      <c r="B6455" s="8"/>
      <c r="C6455" s="35" t="s">
        <v>12164</v>
      </c>
      <c r="D6455" s="8"/>
      <c r="E6455" s="9"/>
      <c r="F6455" s="9"/>
      <c r="G6455" s="8"/>
    </row>
    <row r="6456" spans="2:7" ht="11.25" outlineLevel="3" x14ac:dyDescent="0.2">
      <c r="B6456" s="14" t="s">
        <v>12165</v>
      </c>
      <c r="C6456" s="14" t="s">
        <v>12166</v>
      </c>
      <c r="D6456" s="14">
        <v>25</v>
      </c>
      <c r="E6456" s="15">
        <v>18.02</v>
      </c>
      <c r="F6456" s="16" t="s">
        <v>8</v>
      </c>
      <c r="G6456" s="38" t="str">
        <f>HYPERLINK("http://enext.ua/t001101")</f>
        <v>http://enext.ua/t001101</v>
      </c>
    </row>
    <row r="6457" spans="2:7" ht="11.25" outlineLevel="3" x14ac:dyDescent="0.2">
      <c r="B6457" s="14" t="s">
        <v>12167</v>
      </c>
      <c r="C6457" s="14" t="s">
        <v>12168</v>
      </c>
      <c r="D6457" s="14">
        <v>25</v>
      </c>
      <c r="E6457" s="15">
        <v>20.05</v>
      </c>
      <c r="F6457" s="16" t="s">
        <v>8</v>
      </c>
      <c r="G6457" s="38" t="str">
        <f>HYPERLINK("http://enext.ua/t001102")</f>
        <v>http://enext.ua/t001102</v>
      </c>
    </row>
    <row r="6458" spans="2:7" ht="11.25" outlineLevel="3" x14ac:dyDescent="0.2">
      <c r="B6458" s="14" t="s">
        <v>12169</v>
      </c>
      <c r="C6458" s="14" t="s">
        <v>12170</v>
      </c>
      <c r="D6458" s="14">
        <v>25</v>
      </c>
      <c r="E6458" s="15">
        <v>16.27</v>
      </c>
      <c r="F6458" s="16" t="s">
        <v>8</v>
      </c>
      <c r="G6458" s="38" t="str">
        <f>HYPERLINK("http://enext.ua/t001103")</f>
        <v>http://enext.ua/t001103</v>
      </c>
    </row>
    <row r="6459" spans="2:7" ht="11.25" outlineLevel="3" x14ac:dyDescent="0.2">
      <c r="B6459" s="14" t="s">
        <v>12171</v>
      </c>
      <c r="C6459" s="14" t="s">
        <v>12172</v>
      </c>
      <c r="D6459" s="14">
        <v>25</v>
      </c>
      <c r="E6459" s="15">
        <v>22.66</v>
      </c>
      <c r="F6459" s="16" t="s">
        <v>8</v>
      </c>
      <c r="G6459" s="38" t="str">
        <f>HYPERLINK("http://enext.ua/t001104")</f>
        <v>http://enext.ua/t001104</v>
      </c>
    </row>
    <row r="6460" spans="2:7" ht="11.25" outlineLevel="3" x14ac:dyDescent="0.2">
      <c r="B6460" s="14" t="s">
        <v>12173</v>
      </c>
      <c r="C6460" s="14" t="s">
        <v>12174</v>
      </c>
      <c r="D6460" s="14">
        <v>25</v>
      </c>
      <c r="E6460" s="15">
        <v>20.05</v>
      </c>
      <c r="F6460" s="16" t="s">
        <v>8</v>
      </c>
      <c r="G6460" s="38" t="str">
        <f>HYPERLINK("http://enext.ua/t001105")</f>
        <v>http://enext.ua/t001105</v>
      </c>
    </row>
    <row r="6461" spans="2:7" ht="11.25" outlineLevel="3" x14ac:dyDescent="0.2">
      <c r="B6461" s="14" t="s">
        <v>12175</v>
      </c>
      <c r="C6461" s="14" t="s">
        <v>12176</v>
      </c>
      <c r="D6461" s="14">
        <v>20</v>
      </c>
      <c r="E6461" s="15">
        <v>38.07</v>
      </c>
      <c r="F6461" s="16" t="s">
        <v>8</v>
      </c>
      <c r="G6461" s="38" t="str">
        <f>HYPERLINK("http://enext.ua/t001106")</f>
        <v>http://enext.ua/t001106</v>
      </c>
    </row>
    <row r="6462" spans="2:7" ht="11.25" outlineLevel="3" x14ac:dyDescent="0.2">
      <c r="B6462" s="14" t="s">
        <v>12177</v>
      </c>
      <c r="C6462" s="14" t="s">
        <v>12178</v>
      </c>
      <c r="D6462" s="14">
        <v>6</v>
      </c>
      <c r="E6462" s="15">
        <v>70.900000000000006</v>
      </c>
      <c r="F6462" s="16" t="s">
        <v>8</v>
      </c>
      <c r="G6462" s="38" t="str">
        <f>HYPERLINK("http://enext.ua/t001107")</f>
        <v>http://enext.ua/t001107</v>
      </c>
    </row>
    <row r="6463" spans="2:7" ht="11.25" outlineLevel="3" x14ac:dyDescent="0.2">
      <c r="B6463" s="14" t="s">
        <v>12179</v>
      </c>
      <c r="C6463" s="14" t="s">
        <v>12180</v>
      </c>
      <c r="D6463" s="14">
        <v>10</v>
      </c>
      <c r="E6463" s="15">
        <v>53.46</v>
      </c>
      <c r="F6463" s="16" t="s">
        <v>8</v>
      </c>
      <c r="G6463" s="38" t="str">
        <f>HYPERLINK("http://enext.ua/t001108")</f>
        <v>http://enext.ua/t001108</v>
      </c>
    </row>
    <row r="6464" spans="2:7" ht="11.25" outlineLevel="3" x14ac:dyDescent="0.2">
      <c r="B6464" s="14" t="s">
        <v>12181</v>
      </c>
      <c r="C6464" s="14" t="s">
        <v>12182</v>
      </c>
      <c r="D6464" s="14">
        <v>8</v>
      </c>
      <c r="E6464" s="15">
        <v>97.34</v>
      </c>
      <c r="F6464" s="16" t="s">
        <v>8</v>
      </c>
      <c r="G6464" s="38" t="str">
        <f>HYPERLINK("http://enext.ua/t001109")</f>
        <v>http://enext.ua/t001109</v>
      </c>
    </row>
    <row r="6465" spans="2:7" ht="11.25" outlineLevel="3" x14ac:dyDescent="0.2">
      <c r="B6465" s="14" t="s">
        <v>12183</v>
      </c>
      <c r="C6465" s="14" t="s">
        <v>12184</v>
      </c>
      <c r="D6465" s="14">
        <v>8</v>
      </c>
      <c r="E6465" s="15">
        <v>131.05000000000001</v>
      </c>
      <c r="F6465" s="16" t="s">
        <v>8</v>
      </c>
      <c r="G6465" s="38" t="str">
        <f>HYPERLINK("http://enext.ua/t001110")</f>
        <v>http://enext.ua/t001110</v>
      </c>
    </row>
    <row r="6466" spans="2:7" ht="11.25" outlineLevel="3" x14ac:dyDescent="0.2">
      <c r="B6466" s="14" t="s">
        <v>12185</v>
      </c>
      <c r="C6466" s="14" t="s">
        <v>12186</v>
      </c>
      <c r="D6466" s="14">
        <v>10</v>
      </c>
      <c r="E6466" s="15">
        <v>197.58</v>
      </c>
      <c r="F6466" s="16" t="s">
        <v>8</v>
      </c>
      <c r="G6466" s="38" t="str">
        <f>HYPERLINK("http://enext.ua/t001111")</f>
        <v>http://enext.ua/t001111</v>
      </c>
    </row>
    <row r="6467" spans="2:7" ht="12" outlineLevel="2" x14ac:dyDescent="0.2">
      <c r="B6467" s="8"/>
      <c r="C6467" s="35" t="s">
        <v>12187</v>
      </c>
      <c r="D6467" s="8"/>
      <c r="E6467" s="9"/>
      <c r="F6467" s="9"/>
      <c r="G6467" s="8"/>
    </row>
    <row r="6468" spans="2:7" ht="11.25" outlineLevel="3" x14ac:dyDescent="0.2">
      <c r="B6468" s="14" t="s">
        <v>12188</v>
      </c>
      <c r="C6468" s="14" t="s">
        <v>12189</v>
      </c>
      <c r="D6468" s="14">
        <v>6</v>
      </c>
      <c r="E6468" s="15">
        <v>120.53</v>
      </c>
      <c r="F6468" s="16" t="s">
        <v>8</v>
      </c>
      <c r="G6468" s="38" t="str">
        <f>HYPERLINK("http://enext.ua/t005007")</f>
        <v>http://enext.ua/t005007</v>
      </c>
    </row>
    <row r="6469" spans="2:7" ht="11.25" outlineLevel="3" x14ac:dyDescent="0.2">
      <c r="B6469" s="14" t="s">
        <v>12190</v>
      </c>
      <c r="C6469" s="14" t="s">
        <v>12191</v>
      </c>
      <c r="D6469" s="14">
        <v>6</v>
      </c>
      <c r="E6469" s="15">
        <v>112.25</v>
      </c>
      <c r="F6469" s="16" t="s">
        <v>8</v>
      </c>
      <c r="G6469" s="38" t="str">
        <f>HYPERLINK("http://enext.ua/t005008")</f>
        <v>http://enext.ua/t005008</v>
      </c>
    </row>
    <row r="6470" spans="2:7" ht="11.25" outlineLevel="3" x14ac:dyDescent="0.2">
      <c r="B6470" s="14" t="s">
        <v>12192</v>
      </c>
      <c r="C6470" s="14" t="s">
        <v>12193</v>
      </c>
      <c r="D6470" s="14">
        <v>10</v>
      </c>
      <c r="E6470" s="15">
        <v>120.59</v>
      </c>
      <c r="F6470" s="16" t="s">
        <v>8</v>
      </c>
      <c r="G6470" s="38" t="str">
        <f>HYPERLINK("http://enext.ua/t005009")</f>
        <v>http://enext.ua/t005009</v>
      </c>
    </row>
    <row r="6471" spans="2:7" ht="11.25" outlineLevel="3" x14ac:dyDescent="0.2">
      <c r="B6471" s="14" t="s">
        <v>12194</v>
      </c>
      <c r="C6471" s="14" t="s">
        <v>12195</v>
      </c>
      <c r="D6471" s="14">
        <v>10</v>
      </c>
      <c r="E6471" s="15">
        <v>161.55000000000001</v>
      </c>
      <c r="F6471" s="16" t="s">
        <v>8</v>
      </c>
      <c r="G6471" s="38" t="str">
        <f>HYPERLINK("http://enext.ua/t005010")</f>
        <v>http://enext.ua/t005010</v>
      </c>
    </row>
    <row r="6472" spans="2:7" ht="11.25" outlineLevel="3" x14ac:dyDescent="0.2">
      <c r="B6472" s="14" t="s">
        <v>12196</v>
      </c>
      <c r="C6472" s="14" t="s">
        <v>12197</v>
      </c>
      <c r="D6472" s="14">
        <v>10</v>
      </c>
      <c r="E6472" s="15">
        <v>123.5</v>
      </c>
      <c r="F6472" s="16" t="s">
        <v>8</v>
      </c>
      <c r="G6472" s="38" t="str">
        <f>HYPERLINK("http://enext.ua/t005011")</f>
        <v>http://enext.ua/t005011</v>
      </c>
    </row>
    <row r="6473" spans="2:7" ht="11.25" outlineLevel="3" x14ac:dyDescent="0.2">
      <c r="B6473" s="14" t="s">
        <v>12198</v>
      </c>
      <c r="C6473" s="14" t="s">
        <v>12199</v>
      </c>
      <c r="D6473" s="14">
        <v>10</v>
      </c>
      <c r="E6473" s="15">
        <v>66.540000000000006</v>
      </c>
      <c r="F6473" s="16" t="s">
        <v>8</v>
      </c>
      <c r="G6473" s="38" t="str">
        <f>HYPERLINK("http://enext.ua/t005001")</f>
        <v>http://enext.ua/t005001</v>
      </c>
    </row>
    <row r="6474" spans="2:7" ht="11.25" outlineLevel="3" x14ac:dyDescent="0.2">
      <c r="B6474" s="14" t="s">
        <v>12200</v>
      </c>
      <c r="C6474" s="14" t="s">
        <v>12201</v>
      </c>
      <c r="D6474" s="14">
        <v>10</v>
      </c>
      <c r="E6474" s="15">
        <v>73.52</v>
      </c>
      <c r="F6474" s="16" t="s">
        <v>8</v>
      </c>
      <c r="G6474" s="38" t="str">
        <f>HYPERLINK("http://enext.ua/t005002")</f>
        <v>http://enext.ua/t005002</v>
      </c>
    </row>
    <row r="6475" spans="2:7" ht="11.25" outlineLevel="3" x14ac:dyDescent="0.2">
      <c r="B6475" s="14" t="s">
        <v>12202</v>
      </c>
      <c r="C6475" s="14" t="s">
        <v>12203</v>
      </c>
      <c r="D6475" s="14">
        <v>10</v>
      </c>
      <c r="E6475" s="15">
        <v>73.52</v>
      </c>
      <c r="F6475" s="16" t="s">
        <v>8</v>
      </c>
      <c r="G6475" s="38" t="str">
        <f>HYPERLINK("http://enext.ua/t005003")</f>
        <v>http://enext.ua/t005003</v>
      </c>
    </row>
    <row r="6476" spans="2:7" ht="11.25" outlineLevel="3" x14ac:dyDescent="0.2">
      <c r="B6476" s="14" t="s">
        <v>12204</v>
      </c>
      <c r="C6476" s="14" t="s">
        <v>12205</v>
      </c>
      <c r="D6476" s="14">
        <v>1</v>
      </c>
      <c r="E6476" s="15">
        <v>73.52</v>
      </c>
      <c r="F6476" s="16" t="s">
        <v>8</v>
      </c>
      <c r="G6476" s="38" t="str">
        <f>HYPERLINK("http://enext.ua/t005004")</f>
        <v>http://enext.ua/t005004</v>
      </c>
    </row>
    <row r="6477" spans="2:7" ht="11.25" outlineLevel="3" x14ac:dyDescent="0.2">
      <c r="B6477" s="14" t="s">
        <v>12206</v>
      </c>
      <c r="C6477" s="14" t="s">
        <v>12207</v>
      </c>
      <c r="D6477" s="14">
        <v>10</v>
      </c>
      <c r="E6477" s="15">
        <v>74.099999999999994</v>
      </c>
      <c r="F6477" s="16" t="s">
        <v>8</v>
      </c>
      <c r="G6477" s="38" t="str">
        <f>HYPERLINK("http://enext.ua/t005005")</f>
        <v>http://enext.ua/t005005</v>
      </c>
    </row>
    <row r="6478" spans="2:7" ht="11.25" outlineLevel="3" x14ac:dyDescent="0.2">
      <c r="B6478" s="14" t="s">
        <v>12208</v>
      </c>
      <c r="C6478" s="14" t="s">
        <v>12209</v>
      </c>
      <c r="D6478" s="14">
        <v>1</v>
      </c>
      <c r="E6478" s="15">
        <v>74.099999999999994</v>
      </c>
      <c r="F6478" s="16" t="s">
        <v>8</v>
      </c>
      <c r="G6478" s="38" t="str">
        <f>HYPERLINK("http://enext.ua/t005006")</f>
        <v>http://enext.ua/t005006</v>
      </c>
    </row>
    <row r="6479" spans="2:7" ht="12" outlineLevel="2" x14ac:dyDescent="0.2">
      <c r="B6479" s="8"/>
      <c r="C6479" s="35" t="s">
        <v>12210</v>
      </c>
      <c r="D6479" s="8"/>
      <c r="E6479" s="9"/>
      <c r="F6479" s="9"/>
      <c r="G6479" s="8"/>
    </row>
    <row r="6480" spans="2:7" ht="11.25" outlineLevel="3" x14ac:dyDescent="0.2">
      <c r="B6480" s="14" t="s">
        <v>12211</v>
      </c>
      <c r="C6480" s="14" t="s">
        <v>12212</v>
      </c>
      <c r="D6480" s="14">
        <v>1</v>
      </c>
      <c r="E6480" s="15">
        <v>685.74</v>
      </c>
      <c r="F6480" s="16" t="s">
        <v>8</v>
      </c>
      <c r="G6480" s="38" t="str">
        <f>HYPERLINK("http://enext.ua/t006001")</f>
        <v>http://enext.ua/t006001</v>
      </c>
    </row>
    <row r="6481" spans="2:7" ht="11.25" outlineLevel="3" x14ac:dyDescent="0.2">
      <c r="B6481" s="14" t="s">
        <v>12213</v>
      </c>
      <c r="C6481" s="14" t="s">
        <v>12214</v>
      </c>
      <c r="D6481" s="14">
        <v>10</v>
      </c>
      <c r="E6481" s="15">
        <v>267.32</v>
      </c>
      <c r="F6481" s="16" t="s">
        <v>8</v>
      </c>
      <c r="G6481" s="38" t="str">
        <f>HYPERLINK("http://enext.ua/t006010")</f>
        <v>http://enext.ua/t006010</v>
      </c>
    </row>
    <row r="6482" spans="2:7" ht="11.25" outlineLevel="3" x14ac:dyDescent="0.2">
      <c r="B6482" s="14" t="s">
        <v>12215</v>
      </c>
      <c r="C6482" s="14" t="s">
        <v>12216</v>
      </c>
      <c r="D6482" s="14">
        <v>10</v>
      </c>
      <c r="E6482" s="15">
        <v>353.04</v>
      </c>
      <c r="F6482" s="16" t="s">
        <v>8</v>
      </c>
      <c r="G6482" s="38" t="str">
        <f>HYPERLINK("http://enext.ua/t006003")</f>
        <v>http://enext.ua/t006003</v>
      </c>
    </row>
    <row r="6483" spans="2:7" ht="11.25" outlineLevel="3" x14ac:dyDescent="0.2">
      <c r="B6483" s="14" t="s">
        <v>12217</v>
      </c>
      <c r="C6483" s="14" t="s">
        <v>12218</v>
      </c>
      <c r="D6483" s="14">
        <v>1</v>
      </c>
      <c r="E6483" s="15">
        <v>165.92</v>
      </c>
      <c r="F6483" s="16" t="s">
        <v>8</v>
      </c>
      <c r="G6483" s="38" t="str">
        <f>HYPERLINK("http://enext.ua/t006005")</f>
        <v>http://enext.ua/t006005</v>
      </c>
    </row>
    <row r="6484" spans="2:7" ht="11.25" outlineLevel="3" x14ac:dyDescent="0.2">
      <c r="B6484" s="14" t="s">
        <v>12219</v>
      </c>
      <c r="C6484" s="14" t="s">
        <v>12220</v>
      </c>
      <c r="D6484" s="14">
        <v>1</v>
      </c>
      <c r="E6484" s="15">
        <v>430.04</v>
      </c>
      <c r="F6484" s="16" t="s">
        <v>8</v>
      </c>
      <c r="G6484" s="38" t="str">
        <f>HYPERLINK("http://enext.ua/t006004")</f>
        <v>http://enext.ua/t006004</v>
      </c>
    </row>
    <row r="6485" spans="2:7" ht="11.25" outlineLevel="3" x14ac:dyDescent="0.2">
      <c r="B6485" s="14" t="s">
        <v>12221</v>
      </c>
      <c r="C6485" s="14" t="s">
        <v>12222</v>
      </c>
      <c r="D6485" s="14">
        <v>1</v>
      </c>
      <c r="E6485" s="15">
        <v>111</v>
      </c>
      <c r="F6485" s="16" t="s">
        <v>8</v>
      </c>
      <c r="G6485" s="38" t="str">
        <f>HYPERLINK("http://enext.ua/t006008")</f>
        <v>http://enext.ua/t006008</v>
      </c>
    </row>
    <row r="6486" spans="2:7" ht="12" outlineLevel="2" x14ac:dyDescent="0.2">
      <c r="B6486" s="8"/>
      <c r="C6486" s="35" t="s">
        <v>12223</v>
      </c>
      <c r="D6486" s="8"/>
      <c r="E6486" s="9"/>
      <c r="F6486" s="9"/>
      <c r="G6486" s="8"/>
    </row>
    <row r="6487" spans="2:7" ht="22.5" outlineLevel="3" x14ac:dyDescent="0.2">
      <c r="B6487" s="14" t="s">
        <v>12224</v>
      </c>
      <c r="C6487" s="14" t="s">
        <v>12225</v>
      </c>
      <c r="D6487" s="14">
        <v>1</v>
      </c>
      <c r="E6487" s="15">
        <v>665.69</v>
      </c>
      <c r="F6487" s="16" t="s">
        <v>8</v>
      </c>
      <c r="G6487" s="38" t="str">
        <f>HYPERLINK("http://enext.ua/t008005")</f>
        <v>http://enext.ua/t008005</v>
      </c>
    </row>
    <row r="6488" spans="2:7" ht="22.5" outlineLevel="3" x14ac:dyDescent="0.2">
      <c r="B6488" s="14" t="s">
        <v>12226</v>
      </c>
      <c r="C6488" s="14" t="s">
        <v>12227</v>
      </c>
      <c r="D6488" s="14">
        <v>1</v>
      </c>
      <c r="E6488" s="15">
        <v>665.69</v>
      </c>
      <c r="F6488" s="16" t="s">
        <v>8</v>
      </c>
      <c r="G6488" s="38" t="str">
        <f>HYPERLINK("http://enext.ua/t008006")</f>
        <v>http://enext.ua/t008006</v>
      </c>
    </row>
    <row r="6489" spans="2:7" ht="22.5" outlineLevel="3" x14ac:dyDescent="0.2">
      <c r="B6489" s="14" t="s">
        <v>12228</v>
      </c>
      <c r="C6489" s="14" t="s">
        <v>12229</v>
      </c>
      <c r="D6489" s="14">
        <v>1</v>
      </c>
      <c r="E6489" s="15">
        <v>665.69</v>
      </c>
      <c r="F6489" s="16" t="s">
        <v>8</v>
      </c>
      <c r="G6489" s="38" t="str">
        <f>HYPERLINK("http://enext.ua/t008007")</f>
        <v>http://enext.ua/t008007</v>
      </c>
    </row>
    <row r="6490" spans="2:7" ht="22.5" outlineLevel="3" x14ac:dyDescent="0.2">
      <c r="B6490" s="14" t="s">
        <v>12230</v>
      </c>
      <c r="C6490" s="14" t="s">
        <v>12231</v>
      </c>
      <c r="D6490" s="14">
        <v>1</v>
      </c>
      <c r="E6490" s="15">
        <v>665.69</v>
      </c>
      <c r="F6490" s="16" t="s">
        <v>8</v>
      </c>
      <c r="G6490" s="38" t="str">
        <f>HYPERLINK("http://enext.ua/t008008")</f>
        <v>http://enext.ua/t008008</v>
      </c>
    </row>
    <row r="6491" spans="2:7" ht="22.5" outlineLevel="3" x14ac:dyDescent="0.2">
      <c r="B6491" s="14" t="s">
        <v>12232</v>
      </c>
      <c r="C6491" s="14" t="s">
        <v>12233</v>
      </c>
      <c r="D6491" s="14">
        <v>1</v>
      </c>
      <c r="E6491" s="15">
        <v>665.69</v>
      </c>
      <c r="F6491" s="16" t="s">
        <v>8</v>
      </c>
      <c r="G6491" s="38" t="str">
        <f>HYPERLINK("http://enext.ua/t008010")</f>
        <v>http://enext.ua/t008010</v>
      </c>
    </row>
    <row r="6492" spans="2:7" ht="22.5" outlineLevel="3" x14ac:dyDescent="0.2">
      <c r="B6492" s="14" t="s">
        <v>12234</v>
      </c>
      <c r="C6492" s="14" t="s">
        <v>12235</v>
      </c>
      <c r="D6492" s="14">
        <v>1</v>
      </c>
      <c r="E6492" s="15">
        <v>665.69</v>
      </c>
      <c r="F6492" s="16" t="s">
        <v>8</v>
      </c>
      <c r="G6492" s="38" t="str">
        <f>HYPERLINK("http://enext.ua/t008014")</f>
        <v>http://enext.ua/t008014</v>
      </c>
    </row>
    <row r="6493" spans="2:7" ht="22.5" outlineLevel="3" x14ac:dyDescent="0.2">
      <c r="B6493" s="14" t="s">
        <v>12236</v>
      </c>
      <c r="C6493" s="14" t="s">
        <v>12237</v>
      </c>
      <c r="D6493" s="14">
        <v>1</v>
      </c>
      <c r="E6493" s="15">
        <v>665.69</v>
      </c>
      <c r="F6493" s="16" t="s">
        <v>8</v>
      </c>
      <c r="G6493" s="38" t="str">
        <f>HYPERLINK("http://enext.ua/t008015")</f>
        <v>http://enext.ua/t008015</v>
      </c>
    </row>
    <row r="6494" spans="2:7" ht="22.5" outlineLevel="3" x14ac:dyDescent="0.2">
      <c r="B6494" s="14" t="s">
        <v>12238</v>
      </c>
      <c r="C6494" s="14" t="s">
        <v>12239</v>
      </c>
      <c r="D6494" s="14">
        <v>1</v>
      </c>
      <c r="E6494" s="15">
        <v>665.69</v>
      </c>
      <c r="F6494" s="16" t="s">
        <v>8</v>
      </c>
      <c r="G6494" s="38" t="str">
        <f>HYPERLINK("http://enext.ua/t008016")</f>
        <v>http://enext.ua/t008016</v>
      </c>
    </row>
    <row r="6495" spans="2:7" ht="12" outlineLevel="2" x14ac:dyDescent="0.2">
      <c r="B6495" s="8"/>
      <c r="C6495" s="35" t="s">
        <v>12240</v>
      </c>
      <c r="D6495" s="8"/>
      <c r="E6495" s="9"/>
      <c r="F6495" s="9"/>
      <c r="G6495" s="8"/>
    </row>
    <row r="6496" spans="2:7" ht="11.25" outlineLevel="3" x14ac:dyDescent="0.2">
      <c r="B6496" s="14" t="s">
        <v>12241</v>
      </c>
      <c r="C6496" s="14" t="s">
        <v>12242</v>
      </c>
      <c r="D6496" s="14">
        <v>12</v>
      </c>
      <c r="E6496" s="15">
        <v>20.64</v>
      </c>
      <c r="F6496" s="16" t="s">
        <v>8</v>
      </c>
      <c r="G6496" s="38" t="str">
        <f>HYPERLINK("http://enext.ua/t009005")</f>
        <v>http://enext.ua/t009005</v>
      </c>
    </row>
    <row r="6497" spans="2:7" ht="11.25" outlineLevel="3" x14ac:dyDescent="0.2">
      <c r="B6497" s="14" t="s">
        <v>12243</v>
      </c>
      <c r="C6497" s="14" t="s">
        <v>12244</v>
      </c>
      <c r="D6497" s="14">
        <v>1</v>
      </c>
      <c r="E6497" s="15">
        <v>31.1</v>
      </c>
      <c r="F6497" s="16" t="s">
        <v>8</v>
      </c>
      <c r="G6497" s="38" t="str">
        <f>HYPERLINK("http://enext.ua/t009006")</f>
        <v>http://enext.ua/t009006</v>
      </c>
    </row>
    <row r="6498" spans="2:7" ht="11.25" outlineLevel="3" x14ac:dyDescent="0.2">
      <c r="B6498" s="14" t="s">
        <v>12245</v>
      </c>
      <c r="C6498" s="14" t="s">
        <v>12246</v>
      </c>
      <c r="D6498" s="14">
        <v>12</v>
      </c>
      <c r="E6498" s="15">
        <v>46.49</v>
      </c>
      <c r="F6498" s="16" t="s">
        <v>8</v>
      </c>
      <c r="G6498" s="38" t="str">
        <f>HYPERLINK("http://enext.ua/t009007")</f>
        <v>http://enext.ua/t009007</v>
      </c>
    </row>
    <row r="6499" spans="2:7" ht="11.25" outlineLevel="3" x14ac:dyDescent="0.2">
      <c r="B6499" s="14" t="s">
        <v>12247</v>
      </c>
      <c r="C6499" s="14" t="s">
        <v>12248</v>
      </c>
      <c r="D6499" s="14">
        <v>12</v>
      </c>
      <c r="E6499" s="15">
        <v>20.64</v>
      </c>
      <c r="F6499" s="16" t="s">
        <v>8</v>
      </c>
      <c r="G6499" s="38" t="str">
        <f>HYPERLINK("http://enext.ua/t009001")</f>
        <v>http://enext.ua/t009001</v>
      </c>
    </row>
    <row r="6500" spans="2:7" ht="11.25" outlineLevel="3" x14ac:dyDescent="0.2">
      <c r="B6500" s="14" t="s">
        <v>12249</v>
      </c>
      <c r="C6500" s="14" t="s">
        <v>12250</v>
      </c>
      <c r="D6500" s="14">
        <v>12</v>
      </c>
      <c r="E6500" s="15">
        <v>27.61</v>
      </c>
      <c r="F6500" s="16" t="s">
        <v>8</v>
      </c>
      <c r="G6500" s="38" t="str">
        <f>HYPERLINK("http://enext.ua/t009002")</f>
        <v>http://enext.ua/t009002</v>
      </c>
    </row>
    <row r="6501" spans="2:7" ht="11.25" outlineLevel="3" x14ac:dyDescent="0.2">
      <c r="B6501" s="14" t="s">
        <v>12251</v>
      </c>
      <c r="C6501" s="14" t="s">
        <v>12252</v>
      </c>
      <c r="D6501" s="14">
        <v>12</v>
      </c>
      <c r="E6501" s="15">
        <v>40.1</v>
      </c>
      <c r="F6501" s="16" t="s">
        <v>8</v>
      </c>
      <c r="G6501" s="38" t="str">
        <f>HYPERLINK("http://enext.ua/t009003")</f>
        <v>http://enext.ua/t009003</v>
      </c>
    </row>
    <row r="6502" spans="2:7" ht="11.25" outlineLevel="3" x14ac:dyDescent="0.2">
      <c r="B6502" s="14" t="s">
        <v>12253</v>
      </c>
      <c r="C6502" s="14" t="s">
        <v>12254</v>
      </c>
      <c r="D6502" s="14">
        <v>12</v>
      </c>
      <c r="E6502" s="15">
        <v>44.46</v>
      </c>
      <c r="F6502" s="16" t="s">
        <v>8</v>
      </c>
      <c r="G6502" s="38" t="str">
        <f>HYPERLINK("http://enext.ua/t009004")</f>
        <v>http://enext.ua/t009004</v>
      </c>
    </row>
    <row r="6503" spans="2:7" ht="12" outlineLevel="2" x14ac:dyDescent="0.2">
      <c r="B6503" s="8"/>
      <c r="C6503" s="35" t="s">
        <v>12255</v>
      </c>
      <c r="D6503" s="8"/>
      <c r="E6503" s="9"/>
      <c r="F6503" s="9"/>
      <c r="G6503" s="8"/>
    </row>
    <row r="6504" spans="2:7" ht="11.25" outlineLevel="3" x14ac:dyDescent="0.2">
      <c r="B6504" s="14" t="s">
        <v>12256</v>
      </c>
      <c r="C6504" s="14" t="s">
        <v>12257</v>
      </c>
      <c r="D6504" s="14">
        <v>1</v>
      </c>
      <c r="E6504" s="15">
        <v>358.85</v>
      </c>
      <c r="F6504" s="16" t="s">
        <v>8</v>
      </c>
      <c r="G6504" s="38" t="str">
        <f>HYPERLINK("http://enext.ua/t009008")</f>
        <v>http://enext.ua/t009008</v>
      </c>
    </row>
    <row r="6505" spans="2:7" ht="11.25" outlineLevel="3" x14ac:dyDescent="0.2">
      <c r="B6505" s="14" t="s">
        <v>12258</v>
      </c>
      <c r="C6505" s="14" t="s">
        <v>12259</v>
      </c>
      <c r="D6505" s="14">
        <v>1</v>
      </c>
      <c r="E6505" s="17">
        <v>1195.69</v>
      </c>
      <c r="F6505" s="16" t="s">
        <v>8</v>
      </c>
      <c r="G6505" s="38" t="str">
        <f>HYPERLINK("http://enext.ua/t009009")</f>
        <v>http://enext.ua/t009009</v>
      </c>
    </row>
    <row r="6506" spans="2:7" ht="11.25" outlineLevel="3" x14ac:dyDescent="0.2">
      <c r="B6506" s="14" t="s">
        <v>12260</v>
      </c>
      <c r="C6506" s="14" t="s">
        <v>12261</v>
      </c>
      <c r="D6506" s="14">
        <v>1</v>
      </c>
      <c r="E6506" s="15">
        <v>672.67</v>
      </c>
      <c r="F6506" s="16" t="s">
        <v>8</v>
      </c>
      <c r="G6506" s="38" t="str">
        <f>HYPERLINK("http://enext.ua/t009010")</f>
        <v>http://enext.ua/t009010</v>
      </c>
    </row>
    <row r="6507" spans="2:7" ht="11.25" outlineLevel="3" x14ac:dyDescent="0.2">
      <c r="B6507" s="14" t="s">
        <v>12262</v>
      </c>
      <c r="C6507" s="14" t="s">
        <v>12263</v>
      </c>
      <c r="D6507" s="14">
        <v>1</v>
      </c>
      <c r="E6507" s="15">
        <v>844.1</v>
      </c>
      <c r="F6507" s="16" t="s">
        <v>8</v>
      </c>
      <c r="G6507" s="38" t="str">
        <f>HYPERLINK("http://enext.ua/t009011")</f>
        <v>http://enext.ua/t009011</v>
      </c>
    </row>
    <row r="6508" spans="2:7" ht="12" outlineLevel="2" x14ac:dyDescent="0.2">
      <c r="B6508" s="8"/>
      <c r="C6508" s="35" t="s">
        <v>12264</v>
      </c>
      <c r="D6508" s="8"/>
      <c r="E6508" s="9"/>
      <c r="F6508" s="9"/>
      <c r="G6508" s="8"/>
    </row>
    <row r="6509" spans="2:7" ht="11.25" outlineLevel="3" x14ac:dyDescent="0.2">
      <c r="B6509" s="14" t="s">
        <v>12265</v>
      </c>
      <c r="C6509" s="14" t="s">
        <v>12266</v>
      </c>
      <c r="D6509" s="14">
        <v>1</v>
      </c>
      <c r="E6509" s="15">
        <v>452.12</v>
      </c>
      <c r="F6509" s="16" t="s">
        <v>8</v>
      </c>
      <c r="G6509" s="38" t="str">
        <f>HYPERLINK("http://enext.ua/p0470016")</f>
        <v>http://enext.ua/p0470016</v>
      </c>
    </row>
    <row r="6510" spans="2:7" ht="11.25" outlineLevel="3" x14ac:dyDescent="0.2">
      <c r="B6510" s="14" t="s">
        <v>12267</v>
      </c>
      <c r="C6510" s="14" t="s">
        <v>12268</v>
      </c>
      <c r="D6510" s="14">
        <v>1</v>
      </c>
      <c r="E6510" s="15">
        <v>570.66999999999996</v>
      </c>
      <c r="F6510" s="16" t="s">
        <v>8</v>
      </c>
      <c r="G6510" s="38" t="str">
        <f>HYPERLINK("http://enext.ua/p0470017")</f>
        <v>http://enext.ua/p0470017</v>
      </c>
    </row>
    <row r="6511" spans="2:7" ht="11.25" outlineLevel="3" x14ac:dyDescent="0.2">
      <c r="B6511" s="14" t="s">
        <v>12269</v>
      </c>
      <c r="C6511" s="14" t="s">
        <v>12270</v>
      </c>
      <c r="D6511" s="14">
        <v>1</v>
      </c>
      <c r="E6511" s="15">
        <v>666.85</v>
      </c>
      <c r="F6511" s="16" t="s">
        <v>8</v>
      </c>
      <c r="G6511" s="38" t="str">
        <f>HYPERLINK("http://enext.ua/p0470018")</f>
        <v>http://enext.ua/p0470018</v>
      </c>
    </row>
    <row r="6512" spans="2:7" ht="11.25" outlineLevel="3" x14ac:dyDescent="0.2">
      <c r="B6512" s="14" t="s">
        <v>12271</v>
      </c>
      <c r="C6512" s="14" t="s">
        <v>12272</v>
      </c>
      <c r="D6512" s="14">
        <v>1</v>
      </c>
      <c r="E6512" s="15">
        <v>739.5</v>
      </c>
      <c r="F6512" s="16" t="s">
        <v>8</v>
      </c>
      <c r="G6512" s="38" t="str">
        <f>HYPERLINK("http://enext.ua/p0470019")</f>
        <v>http://enext.ua/p0470019</v>
      </c>
    </row>
    <row r="6513" spans="2:7" ht="11.25" outlineLevel="3" x14ac:dyDescent="0.2">
      <c r="B6513" s="14" t="s">
        <v>12273</v>
      </c>
      <c r="C6513" s="14" t="s">
        <v>12274</v>
      </c>
      <c r="D6513" s="14">
        <v>1</v>
      </c>
      <c r="E6513" s="15">
        <v>576.48</v>
      </c>
      <c r="F6513" s="16" t="s">
        <v>8</v>
      </c>
      <c r="G6513" s="38" t="str">
        <f>HYPERLINK("http://enext.ua/p0470012")</f>
        <v>http://enext.ua/p0470012</v>
      </c>
    </row>
    <row r="6514" spans="2:7" ht="11.25" outlineLevel="3" x14ac:dyDescent="0.2">
      <c r="B6514" s="14" t="s">
        <v>12275</v>
      </c>
      <c r="C6514" s="14" t="s">
        <v>12276</v>
      </c>
      <c r="D6514" s="14">
        <v>1</v>
      </c>
      <c r="E6514" s="15">
        <v>668.3</v>
      </c>
      <c r="F6514" s="16" t="s">
        <v>8</v>
      </c>
      <c r="G6514" s="38" t="str">
        <f>HYPERLINK("http://enext.ua/p0470013")</f>
        <v>http://enext.ua/p0470013</v>
      </c>
    </row>
    <row r="6515" spans="2:7" ht="11.25" outlineLevel="3" x14ac:dyDescent="0.2">
      <c r="B6515" s="14" t="s">
        <v>12277</v>
      </c>
      <c r="C6515" s="14" t="s">
        <v>12278</v>
      </c>
      <c r="D6515" s="14">
        <v>1</v>
      </c>
      <c r="E6515" s="15">
        <v>798.77</v>
      </c>
      <c r="F6515" s="16" t="s">
        <v>8</v>
      </c>
      <c r="G6515" s="38" t="str">
        <f>HYPERLINK("http://enext.ua/p0470014")</f>
        <v>http://enext.ua/p0470014</v>
      </c>
    </row>
    <row r="6516" spans="2:7" ht="11.25" outlineLevel="3" x14ac:dyDescent="0.2">
      <c r="B6516" s="14" t="s">
        <v>12279</v>
      </c>
      <c r="C6516" s="14" t="s">
        <v>12280</v>
      </c>
      <c r="D6516" s="14">
        <v>1</v>
      </c>
      <c r="E6516" s="15">
        <v>865.89</v>
      </c>
      <c r="F6516" s="16" t="s">
        <v>8</v>
      </c>
      <c r="G6516" s="38" t="str">
        <f>HYPERLINK("http://enext.ua/p0470015")</f>
        <v>http://enext.ua/p0470015</v>
      </c>
    </row>
    <row r="6517" spans="2:7" ht="12" outlineLevel="2" x14ac:dyDescent="0.2">
      <c r="B6517" s="8"/>
      <c r="C6517" s="35" t="s">
        <v>12281</v>
      </c>
      <c r="D6517" s="8"/>
      <c r="E6517" s="9"/>
      <c r="F6517" s="9"/>
      <c r="G6517" s="8"/>
    </row>
    <row r="6518" spans="2:7" ht="11.25" outlineLevel="3" x14ac:dyDescent="0.2">
      <c r="B6518" s="14" t="s">
        <v>12282</v>
      </c>
      <c r="C6518" s="14" t="s">
        <v>12283</v>
      </c>
      <c r="D6518" s="14">
        <v>1</v>
      </c>
      <c r="E6518" s="15">
        <v>316.29000000000002</v>
      </c>
      <c r="F6518" s="16" t="s">
        <v>8</v>
      </c>
      <c r="G6518" s="38" t="str">
        <f>HYPERLINK("http://enext.ua/p0470020")</f>
        <v>http://enext.ua/p0470020</v>
      </c>
    </row>
    <row r="6519" spans="2:7" ht="11.25" outlineLevel="3" x14ac:dyDescent="0.2">
      <c r="B6519" s="14" t="s">
        <v>12284</v>
      </c>
      <c r="C6519" s="14" t="s">
        <v>12285</v>
      </c>
      <c r="D6519" s="14">
        <v>1</v>
      </c>
      <c r="E6519" s="15">
        <v>588.29</v>
      </c>
      <c r="F6519" s="16" t="s">
        <v>8</v>
      </c>
      <c r="G6519" s="38" t="str">
        <f>HYPERLINK("http://enext.ua/p0470021")</f>
        <v>http://enext.ua/p0470021</v>
      </c>
    </row>
    <row r="6520" spans="2:7" ht="11.25" outlineLevel="3" x14ac:dyDescent="0.2">
      <c r="B6520" s="14" t="s">
        <v>12286</v>
      </c>
      <c r="C6520" s="14" t="s">
        <v>12287</v>
      </c>
      <c r="D6520" s="14">
        <v>1</v>
      </c>
      <c r="E6520" s="15">
        <v>348.12</v>
      </c>
      <c r="F6520" s="16" t="s">
        <v>8</v>
      </c>
      <c r="G6520" s="38" t="str">
        <f>HYPERLINK("http://enext.ua/p0470022")</f>
        <v>http://enext.ua/p0470022</v>
      </c>
    </row>
    <row r="6521" spans="2:7" ht="11.25" outlineLevel="3" x14ac:dyDescent="0.2">
      <c r="B6521" s="14" t="s">
        <v>12288</v>
      </c>
      <c r="C6521" s="14" t="s">
        <v>12289</v>
      </c>
      <c r="D6521" s="14">
        <v>1</v>
      </c>
      <c r="E6521" s="17">
        <v>2738.18</v>
      </c>
      <c r="F6521" s="16" t="s">
        <v>8</v>
      </c>
      <c r="G6521" s="38" t="str">
        <f>HYPERLINK("http://enext.ua/p0470023")</f>
        <v>http://enext.ua/p0470023</v>
      </c>
    </row>
    <row r="6522" spans="2:7" ht="11.25" outlineLevel="3" x14ac:dyDescent="0.2">
      <c r="B6522" s="14" t="s">
        <v>12290</v>
      </c>
      <c r="C6522" s="14" t="s">
        <v>12291</v>
      </c>
      <c r="D6522" s="14">
        <v>1</v>
      </c>
      <c r="E6522" s="15">
        <v>976.36</v>
      </c>
      <c r="F6522" s="16" t="s">
        <v>8</v>
      </c>
      <c r="G6522" s="38" t="str">
        <f>HYPERLINK("http://enext.ua/p0470024")</f>
        <v>http://enext.ua/p0470024</v>
      </c>
    </row>
    <row r="6523" spans="2:7" ht="11.25" outlineLevel="3" x14ac:dyDescent="0.2">
      <c r="B6523" s="14" t="s">
        <v>12292</v>
      </c>
      <c r="C6523" s="14" t="s">
        <v>12293</v>
      </c>
      <c r="D6523" s="14">
        <v>1</v>
      </c>
      <c r="E6523" s="15">
        <v>596.36</v>
      </c>
      <c r="F6523" s="16" t="s">
        <v>8</v>
      </c>
      <c r="G6523" s="38" t="str">
        <f>HYPERLINK("http://enext.ua/p0470025")</f>
        <v>http://enext.ua/p0470025</v>
      </c>
    </row>
    <row r="6524" spans="2:7" ht="11.25" outlineLevel="3" x14ac:dyDescent="0.2">
      <c r="B6524" s="14" t="s">
        <v>12294</v>
      </c>
      <c r="C6524" s="14" t="s">
        <v>12295</v>
      </c>
      <c r="D6524" s="14">
        <v>1</v>
      </c>
      <c r="E6524" s="15">
        <v>340</v>
      </c>
      <c r="F6524" s="16" t="s">
        <v>8</v>
      </c>
      <c r="G6524" s="38" t="str">
        <f>HYPERLINK("http://enext.ua/p0470026")</f>
        <v>http://enext.ua/p0470026</v>
      </c>
    </row>
    <row r="6525" spans="2:7" ht="11.25" outlineLevel="3" x14ac:dyDescent="0.2">
      <c r="B6525" s="14" t="s">
        <v>12296</v>
      </c>
      <c r="C6525" s="14" t="s">
        <v>12297</v>
      </c>
      <c r="D6525" s="14">
        <v>1</v>
      </c>
      <c r="E6525" s="17">
        <v>1370.91</v>
      </c>
      <c r="F6525" s="16" t="s">
        <v>8</v>
      </c>
      <c r="G6525" s="38" t="str">
        <f>HYPERLINK("http://enext.ua/p0470027")</f>
        <v>http://enext.ua/p0470027</v>
      </c>
    </row>
    <row r="6526" spans="2:7" ht="12" outlineLevel="2" x14ac:dyDescent="0.2">
      <c r="B6526" s="8"/>
      <c r="C6526" s="35" t="s">
        <v>12298</v>
      </c>
      <c r="D6526" s="8"/>
      <c r="E6526" s="9"/>
      <c r="F6526" s="9"/>
      <c r="G6526" s="8"/>
    </row>
    <row r="6527" spans="2:7" ht="11.25" outlineLevel="3" x14ac:dyDescent="0.2">
      <c r="B6527" s="14" t="s">
        <v>12299</v>
      </c>
      <c r="C6527" s="14" t="s">
        <v>12300</v>
      </c>
      <c r="D6527" s="14">
        <v>1</v>
      </c>
      <c r="E6527" s="15">
        <v>88.68</v>
      </c>
      <c r="F6527" s="16" t="s">
        <v>8</v>
      </c>
      <c r="G6527" s="38" t="str">
        <f>HYPERLINK("http://enext.ua/t010001")</f>
        <v>http://enext.ua/t010001</v>
      </c>
    </row>
    <row r="6528" spans="2:7" ht="11.25" outlineLevel="3" x14ac:dyDescent="0.2">
      <c r="B6528" s="14" t="s">
        <v>12301</v>
      </c>
      <c r="C6528" s="14" t="s">
        <v>12302</v>
      </c>
      <c r="D6528" s="14">
        <v>1</v>
      </c>
      <c r="E6528" s="15">
        <v>142.12</v>
      </c>
      <c r="F6528" s="16" t="s">
        <v>8</v>
      </c>
      <c r="G6528" s="38" t="str">
        <f>HYPERLINK("http://enext.ua/t010002")</f>
        <v>http://enext.ua/t010002</v>
      </c>
    </row>
    <row r="6529" spans="2:7" ht="11.25" outlineLevel="3" x14ac:dyDescent="0.2">
      <c r="B6529" s="14" t="s">
        <v>12303</v>
      </c>
      <c r="C6529" s="14" t="s">
        <v>12304</v>
      </c>
      <c r="D6529" s="14">
        <v>1</v>
      </c>
      <c r="E6529" s="15">
        <v>220.58</v>
      </c>
      <c r="F6529" s="16" t="s">
        <v>8</v>
      </c>
      <c r="G6529" s="38" t="str">
        <f>HYPERLINK("http://enext.ua/t010003")</f>
        <v>http://enext.ua/t010003</v>
      </c>
    </row>
    <row r="6530" spans="2:7" ht="11.25" outlineLevel="3" x14ac:dyDescent="0.2">
      <c r="B6530" s="14" t="s">
        <v>12305</v>
      </c>
      <c r="C6530" s="14" t="s">
        <v>12306</v>
      </c>
      <c r="D6530" s="14">
        <v>1</v>
      </c>
      <c r="E6530" s="15">
        <v>192.15</v>
      </c>
      <c r="F6530" s="16" t="s">
        <v>8</v>
      </c>
      <c r="G6530" s="38" t="str">
        <f>HYPERLINK("http://enext.ua/t010007")</f>
        <v>http://enext.ua/t010007</v>
      </c>
    </row>
    <row r="6531" spans="2:7" ht="11.25" outlineLevel="3" x14ac:dyDescent="0.2">
      <c r="B6531" s="14" t="s">
        <v>12307</v>
      </c>
      <c r="C6531" s="14" t="s">
        <v>12308</v>
      </c>
      <c r="D6531" s="14">
        <v>1</v>
      </c>
      <c r="E6531" s="15">
        <v>267.19</v>
      </c>
      <c r="F6531" s="16" t="s">
        <v>8</v>
      </c>
      <c r="G6531" s="38" t="str">
        <f>HYPERLINK("http://enext.ua/t010008")</f>
        <v>http://enext.ua/t010008</v>
      </c>
    </row>
    <row r="6532" spans="2:7" ht="11.25" outlineLevel="3" x14ac:dyDescent="0.2">
      <c r="B6532" s="14" t="s">
        <v>12309</v>
      </c>
      <c r="C6532" s="14" t="s">
        <v>12310</v>
      </c>
      <c r="D6532" s="14">
        <v>1</v>
      </c>
      <c r="E6532" s="15">
        <v>451.38</v>
      </c>
      <c r="F6532" s="16" t="s">
        <v>8</v>
      </c>
      <c r="G6532" s="38" t="str">
        <f>HYPERLINK("http://enext.ua/t010009")</f>
        <v>http://enext.ua/t010009</v>
      </c>
    </row>
    <row r="6533" spans="2:7" ht="11.25" outlineLevel="3" x14ac:dyDescent="0.2">
      <c r="B6533" s="14" t="s">
        <v>12311</v>
      </c>
      <c r="C6533" s="14" t="s">
        <v>12312</v>
      </c>
      <c r="D6533" s="14">
        <v>1</v>
      </c>
      <c r="E6533" s="15">
        <v>95.51</v>
      </c>
      <c r="F6533" s="16" t="s">
        <v>8</v>
      </c>
      <c r="G6533" s="38" t="str">
        <f>HYPERLINK("http://enext.ua/t010004")</f>
        <v>http://enext.ua/t010004</v>
      </c>
    </row>
    <row r="6534" spans="2:7" ht="11.25" outlineLevel="3" x14ac:dyDescent="0.2">
      <c r="B6534" s="14" t="s">
        <v>12313</v>
      </c>
      <c r="C6534" s="14" t="s">
        <v>12314</v>
      </c>
      <c r="D6534" s="14">
        <v>1</v>
      </c>
      <c r="E6534" s="15">
        <v>280.83</v>
      </c>
      <c r="F6534" s="16" t="s">
        <v>8</v>
      </c>
      <c r="G6534" s="38" t="str">
        <f>HYPERLINK("http://enext.ua/t010005")</f>
        <v>http://enext.ua/t010005</v>
      </c>
    </row>
    <row r="6535" spans="2:7" ht="11.25" outlineLevel="3" x14ac:dyDescent="0.2">
      <c r="B6535" s="14" t="s">
        <v>12315</v>
      </c>
      <c r="C6535" s="14" t="s">
        <v>12316</v>
      </c>
      <c r="D6535" s="14">
        <v>1</v>
      </c>
      <c r="E6535" s="15">
        <v>409.32</v>
      </c>
      <c r="F6535" s="16" t="s">
        <v>8</v>
      </c>
      <c r="G6535" s="38" t="str">
        <f>HYPERLINK("http://enext.ua/t010006")</f>
        <v>http://enext.ua/t010006</v>
      </c>
    </row>
    <row r="6536" spans="2:7" ht="11.25" outlineLevel="3" x14ac:dyDescent="0.2">
      <c r="B6536" s="14" t="s">
        <v>12317</v>
      </c>
      <c r="C6536" s="14" t="s">
        <v>12318</v>
      </c>
      <c r="D6536" s="14">
        <v>1</v>
      </c>
      <c r="E6536" s="15">
        <v>754.18</v>
      </c>
      <c r="F6536" s="16" t="s">
        <v>8</v>
      </c>
      <c r="G6536" s="38" t="str">
        <f>HYPERLINK("http://enext.ua/t010010")</f>
        <v>http://enext.ua/t010010</v>
      </c>
    </row>
    <row r="6537" spans="2:7" ht="11.25" outlineLevel="3" x14ac:dyDescent="0.2">
      <c r="B6537" s="14" t="s">
        <v>12319</v>
      </c>
      <c r="C6537" s="14" t="s">
        <v>12320</v>
      </c>
      <c r="D6537" s="14">
        <v>1</v>
      </c>
      <c r="E6537" s="15">
        <v>206.94</v>
      </c>
      <c r="F6537" s="16" t="s">
        <v>8</v>
      </c>
      <c r="G6537" s="38" t="str">
        <f>HYPERLINK("http://enext.ua/t010011")</f>
        <v>http://enext.ua/t010011</v>
      </c>
    </row>
    <row r="6538" spans="2:7" ht="11.25" outlineLevel="3" x14ac:dyDescent="0.2">
      <c r="B6538" s="14" t="s">
        <v>12321</v>
      </c>
      <c r="C6538" s="14" t="s">
        <v>12322</v>
      </c>
      <c r="D6538" s="14">
        <v>1</v>
      </c>
      <c r="E6538" s="15">
        <v>314.94</v>
      </c>
      <c r="F6538" s="16" t="s">
        <v>8</v>
      </c>
      <c r="G6538" s="38" t="str">
        <f>HYPERLINK("http://enext.ua/t010012")</f>
        <v>http://enext.ua/t010012</v>
      </c>
    </row>
    <row r="6539" spans="2:7" ht="11.25" outlineLevel="3" x14ac:dyDescent="0.2">
      <c r="B6539" s="14" t="s">
        <v>12323</v>
      </c>
      <c r="C6539" s="14" t="s">
        <v>12324</v>
      </c>
      <c r="D6539" s="14">
        <v>1</v>
      </c>
      <c r="E6539" s="15">
        <v>140.44999999999999</v>
      </c>
      <c r="F6539" s="16" t="s">
        <v>8</v>
      </c>
      <c r="G6539" s="38" t="str">
        <f>HYPERLINK("http://enext.ua/t010013")</f>
        <v>http://enext.ua/t010013</v>
      </c>
    </row>
    <row r="6540" spans="2:7" ht="11.25" outlineLevel="3" x14ac:dyDescent="0.2">
      <c r="B6540" s="14" t="s">
        <v>12325</v>
      </c>
      <c r="C6540" s="14" t="s">
        <v>12326</v>
      </c>
      <c r="D6540" s="14">
        <v>1</v>
      </c>
      <c r="E6540" s="15">
        <v>140.44999999999999</v>
      </c>
      <c r="F6540" s="16" t="s">
        <v>8</v>
      </c>
      <c r="G6540" s="38" t="str">
        <f>HYPERLINK("http://enext.ua/t0100130")</f>
        <v>http://enext.ua/t0100130</v>
      </c>
    </row>
    <row r="6541" spans="2:7" ht="11.25" outlineLevel="3" x14ac:dyDescent="0.2">
      <c r="B6541" s="14" t="s">
        <v>12327</v>
      </c>
      <c r="C6541" s="14" t="s">
        <v>12328</v>
      </c>
      <c r="D6541" s="14">
        <v>1</v>
      </c>
      <c r="E6541" s="15">
        <v>281.82</v>
      </c>
      <c r="F6541" s="16" t="s">
        <v>8</v>
      </c>
      <c r="G6541" s="38" t="str">
        <f>HYPERLINK("http://enext.ua/t010014")</f>
        <v>http://enext.ua/t010014</v>
      </c>
    </row>
    <row r="6542" spans="2:7" ht="11.25" outlineLevel="3" x14ac:dyDescent="0.2">
      <c r="B6542" s="14" t="s">
        <v>12329</v>
      </c>
      <c r="C6542" s="14" t="s">
        <v>12330</v>
      </c>
      <c r="D6542" s="14">
        <v>1</v>
      </c>
      <c r="E6542" s="15">
        <v>330.91</v>
      </c>
      <c r="F6542" s="16" t="s">
        <v>8</v>
      </c>
      <c r="G6542" s="38" t="str">
        <f>HYPERLINK("http://enext.ua/t010015")</f>
        <v>http://enext.ua/t010015</v>
      </c>
    </row>
    <row r="6543" spans="2:7" ht="11.25" outlineLevel="3" x14ac:dyDescent="0.2">
      <c r="B6543" s="14" t="s">
        <v>12331</v>
      </c>
      <c r="C6543" s="14" t="s">
        <v>12332</v>
      </c>
      <c r="D6543" s="14">
        <v>1</v>
      </c>
      <c r="E6543" s="15">
        <v>90.91</v>
      </c>
      <c r="F6543" s="16" t="s">
        <v>8</v>
      </c>
      <c r="G6543" s="38" t="str">
        <f>HYPERLINK("http://enext.ua/t010016")</f>
        <v>http://enext.ua/t010016</v>
      </c>
    </row>
    <row r="6544" spans="2:7" ht="11.25" outlineLevel="3" x14ac:dyDescent="0.2">
      <c r="B6544" s="14" t="s">
        <v>12333</v>
      </c>
      <c r="C6544" s="14" t="s">
        <v>12334</v>
      </c>
      <c r="D6544" s="14">
        <v>1</v>
      </c>
      <c r="E6544" s="15">
        <v>178.64</v>
      </c>
      <c r="F6544" s="16" t="s">
        <v>8</v>
      </c>
      <c r="G6544" s="38" t="str">
        <f>HYPERLINK("http://enext.ua/t010017")</f>
        <v>http://enext.ua/t010017</v>
      </c>
    </row>
    <row r="6545" spans="2:7" ht="12" outlineLevel="1" x14ac:dyDescent="0.2">
      <c r="B6545" s="6"/>
      <c r="C6545" s="34" t="s">
        <v>12335</v>
      </c>
      <c r="D6545" s="6"/>
      <c r="E6545" s="7"/>
      <c r="F6545" s="7"/>
      <c r="G6545" s="6"/>
    </row>
    <row r="6546" spans="2:7" ht="12" outlineLevel="2" x14ac:dyDescent="0.2">
      <c r="B6546" s="8"/>
      <c r="C6546" s="35" t="s">
        <v>12336</v>
      </c>
      <c r="D6546" s="8"/>
      <c r="E6546" s="9"/>
      <c r="F6546" s="9"/>
      <c r="G6546" s="8"/>
    </row>
    <row r="6547" spans="2:7" ht="12" outlineLevel="3" x14ac:dyDescent="0.2">
      <c r="B6547" s="10"/>
      <c r="C6547" s="36" t="s">
        <v>12337</v>
      </c>
      <c r="D6547" s="10"/>
      <c r="E6547" s="11"/>
      <c r="F6547" s="11"/>
      <c r="G6547" s="10"/>
    </row>
    <row r="6548" spans="2:7" ht="11.25" outlineLevel="4" x14ac:dyDescent="0.2">
      <c r="B6548" s="14" t="s">
        <v>12338</v>
      </c>
      <c r="C6548" s="14" t="s">
        <v>12339</v>
      </c>
      <c r="D6548" s="14">
        <v>20</v>
      </c>
      <c r="E6548" s="15">
        <v>53.9</v>
      </c>
      <c r="F6548" s="16" t="s">
        <v>8</v>
      </c>
      <c r="G6548" s="38" t="str">
        <f>HYPERLINK("http://enext.ua/p011010")</f>
        <v>http://enext.ua/p011010</v>
      </c>
    </row>
    <row r="6549" spans="2:7" ht="11.25" outlineLevel="4" x14ac:dyDescent="0.2">
      <c r="B6549" s="14" t="s">
        <v>12340</v>
      </c>
      <c r="C6549" s="14" t="s">
        <v>12341</v>
      </c>
      <c r="D6549" s="14">
        <v>10</v>
      </c>
      <c r="E6549" s="15">
        <v>57.25</v>
      </c>
      <c r="F6549" s="16" t="s">
        <v>8</v>
      </c>
      <c r="G6549" s="38" t="str">
        <f>HYPERLINK("http://enext.ua/p011001")</f>
        <v>http://enext.ua/p011001</v>
      </c>
    </row>
    <row r="6550" spans="2:7" ht="11.25" outlineLevel="4" x14ac:dyDescent="0.2">
      <c r="B6550" s="14" t="s">
        <v>12342</v>
      </c>
      <c r="C6550" s="14" t="s">
        <v>12343</v>
      </c>
      <c r="D6550" s="14">
        <v>10</v>
      </c>
      <c r="E6550" s="15">
        <v>60.95</v>
      </c>
      <c r="F6550" s="16" t="s">
        <v>8</v>
      </c>
      <c r="G6550" s="38" t="str">
        <f>HYPERLINK("http://enext.ua/p011004")</f>
        <v>http://enext.ua/p011004</v>
      </c>
    </row>
    <row r="6551" spans="2:7" ht="11.25" outlineLevel="4" x14ac:dyDescent="0.2">
      <c r="B6551" s="14" t="s">
        <v>12344</v>
      </c>
      <c r="C6551" s="14" t="s">
        <v>12345</v>
      </c>
      <c r="D6551" s="14">
        <v>10</v>
      </c>
      <c r="E6551" s="15">
        <v>85.64</v>
      </c>
      <c r="F6551" s="16" t="s">
        <v>8</v>
      </c>
      <c r="G6551" s="38" t="str">
        <f>HYPERLINK("http://enext.ua/p011007")</f>
        <v>http://enext.ua/p011007</v>
      </c>
    </row>
    <row r="6552" spans="2:7" ht="11.25" outlineLevel="4" x14ac:dyDescent="0.2">
      <c r="B6552" s="14" t="s">
        <v>12346</v>
      </c>
      <c r="C6552" s="14" t="s">
        <v>12347</v>
      </c>
      <c r="D6552" s="14">
        <v>10</v>
      </c>
      <c r="E6552" s="15">
        <v>85.91</v>
      </c>
      <c r="F6552" s="16" t="s">
        <v>8</v>
      </c>
      <c r="G6552" s="38" t="str">
        <f>HYPERLINK("http://enext.ua/p011002")</f>
        <v>http://enext.ua/p011002</v>
      </c>
    </row>
    <row r="6553" spans="2:7" ht="11.25" outlineLevel="4" x14ac:dyDescent="0.2">
      <c r="B6553" s="14" t="s">
        <v>12348</v>
      </c>
      <c r="C6553" s="14" t="s">
        <v>12349</v>
      </c>
      <c r="D6553" s="14">
        <v>10</v>
      </c>
      <c r="E6553" s="15">
        <v>100.95</v>
      </c>
      <c r="F6553" s="16" t="s">
        <v>8</v>
      </c>
      <c r="G6553" s="38" t="str">
        <f>HYPERLINK("http://enext.ua/p011005")</f>
        <v>http://enext.ua/p011005</v>
      </c>
    </row>
    <row r="6554" spans="2:7" ht="11.25" outlineLevel="4" x14ac:dyDescent="0.2">
      <c r="B6554" s="14" t="s">
        <v>12350</v>
      </c>
      <c r="C6554" s="14" t="s">
        <v>12351</v>
      </c>
      <c r="D6554" s="14">
        <v>10</v>
      </c>
      <c r="E6554" s="15">
        <v>116.45</v>
      </c>
      <c r="F6554" s="16" t="s">
        <v>8</v>
      </c>
      <c r="G6554" s="38" t="str">
        <f>HYPERLINK("http://enext.ua/p011008")</f>
        <v>http://enext.ua/p011008</v>
      </c>
    </row>
    <row r="6555" spans="2:7" ht="11.25" outlineLevel="4" x14ac:dyDescent="0.2">
      <c r="B6555" s="14" t="s">
        <v>12352</v>
      </c>
      <c r="C6555" s="14" t="s">
        <v>12353</v>
      </c>
      <c r="D6555" s="14">
        <v>2</v>
      </c>
      <c r="E6555" s="15">
        <v>350.91</v>
      </c>
      <c r="F6555" s="16" t="s">
        <v>8</v>
      </c>
      <c r="G6555" s="38" t="str">
        <f>HYPERLINK("http://enext.ua/p011003")</f>
        <v>http://enext.ua/p011003</v>
      </c>
    </row>
    <row r="6556" spans="2:7" ht="11.25" outlineLevel="4" x14ac:dyDescent="0.2">
      <c r="B6556" s="14" t="s">
        <v>12354</v>
      </c>
      <c r="C6556" s="14" t="s">
        <v>12355</v>
      </c>
      <c r="D6556" s="14">
        <v>2</v>
      </c>
      <c r="E6556" s="15">
        <v>433.4</v>
      </c>
      <c r="F6556" s="16" t="s">
        <v>8</v>
      </c>
      <c r="G6556" s="38" t="str">
        <f>HYPERLINK("http://enext.ua/p011006")</f>
        <v>http://enext.ua/p011006</v>
      </c>
    </row>
    <row r="6557" spans="2:7" ht="11.25" outlineLevel="4" x14ac:dyDescent="0.2">
      <c r="B6557" s="14" t="s">
        <v>12356</v>
      </c>
      <c r="C6557" s="14" t="s">
        <v>12357</v>
      </c>
      <c r="D6557" s="14">
        <v>2</v>
      </c>
      <c r="E6557" s="15">
        <v>488.95</v>
      </c>
      <c r="F6557" s="16" t="s">
        <v>8</v>
      </c>
      <c r="G6557" s="38" t="str">
        <f>HYPERLINK("http://enext.ua/p011009")</f>
        <v>http://enext.ua/p011009</v>
      </c>
    </row>
    <row r="6558" spans="2:7" ht="11.25" outlineLevel="4" x14ac:dyDescent="0.2">
      <c r="B6558" s="14" t="s">
        <v>12358</v>
      </c>
      <c r="C6558" s="14" t="s">
        <v>12359</v>
      </c>
      <c r="D6558" s="14">
        <v>2</v>
      </c>
      <c r="E6558" s="17">
        <v>1549</v>
      </c>
      <c r="F6558" s="16" t="s">
        <v>8</v>
      </c>
      <c r="G6558" s="38" t="str">
        <f>HYPERLINK("http://enext.ua/p011011")</f>
        <v>http://enext.ua/p011011</v>
      </c>
    </row>
    <row r="6559" spans="2:7" ht="11.25" outlineLevel="4" x14ac:dyDescent="0.2">
      <c r="B6559" s="14" t="s">
        <v>12360</v>
      </c>
      <c r="C6559" s="14" t="s">
        <v>12361</v>
      </c>
      <c r="D6559" s="14">
        <v>2</v>
      </c>
      <c r="E6559" s="17">
        <v>1625.18</v>
      </c>
      <c r="F6559" s="16" t="s">
        <v>8</v>
      </c>
      <c r="G6559" s="38" t="str">
        <f>HYPERLINK("http://enext.ua/p011012")</f>
        <v>http://enext.ua/p011012</v>
      </c>
    </row>
    <row r="6560" spans="2:7" ht="12" outlineLevel="3" x14ac:dyDescent="0.2">
      <c r="B6560" s="10"/>
      <c r="C6560" s="36" t="s">
        <v>12362</v>
      </c>
      <c r="D6560" s="10"/>
      <c r="E6560" s="11"/>
      <c r="F6560" s="11"/>
      <c r="G6560" s="10"/>
    </row>
    <row r="6561" spans="2:7" ht="11.25" outlineLevel="4" x14ac:dyDescent="0.2">
      <c r="B6561" s="14" t="s">
        <v>12363</v>
      </c>
      <c r="C6561" s="14" t="s">
        <v>12364</v>
      </c>
      <c r="D6561" s="14">
        <v>40</v>
      </c>
      <c r="E6561" s="15">
        <v>61.88</v>
      </c>
      <c r="F6561" s="16" t="s">
        <v>8</v>
      </c>
      <c r="G6561" s="38" t="str">
        <f>HYPERLINK("http://enext.ua/p012023")</f>
        <v>http://enext.ua/p012023</v>
      </c>
    </row>
    <row r="6562" spans="2:7" ht="11.25" outlineLevel="4" x14ac:dyDescent="0.2">
      <c r="B6562" s="14" t="s">
        <v>12365</v>
      </c>
      <c r="C6562" s="14" t="s">
        <v>12366</v>
      </c>
      <c r="D6562" s="14">
        <v>10</v>
      </c>
      <c r="E6562" s="15">
        <v>92.56</v>
      </c>
      <c r="F6562" s="16" t="s">
        <v>8</v>
      </c>
      <c r="G6562" s="38" t="str">
        <f>HYPERLINK("http://enext.ua/p012001")</f>
        <v>http://enext.ua/p012001</v>
      </c>
    </row>
    <row r="6563" spans="2:7" ht="11.25" outlineLevel="4" x14ac:dyDescent="0.2">
      <c r="B6563" s="14" t="s">
        <v>12367</v>
      </c>
      <c r="C6563" s="14" t="s">
        <v>12368</v>
      </c>
      <c r="D6563" s="14">
        <v>10</v>
      </c>
      <c r="E6563" s="15">
        <v>102.44</v>
      </c>
      <c r="F6563" s="16" t="s">
        <v>8</v>
      </c>
      <c r="G6563" s="38" t="str">
        <f>HYPERLINK("http://enext.ua/p012004")</f>
        <v>http://enext.ua/p012004</v>
      </c>
    </row>
    <row r="6564" spans="2:7" ht="11.25" outlineLevel="4" x14ac:dyDescent="0.2">
      <c r="B6564" s="14" t="s">
        <v>12369</v>
      </c>
      <c r="C6564" s="14" t="s">
        <v>12370</v>
      </c>
      <c r="D6564" s="14">
        <v>10</v>
      </c>
      <c r="E6564" s="15">
        <v>113.91</v>
      </c>
      <c r="F6564" s="16" t="s">
        <v>8</v>
      </c>
      <c r="G6564" s="38" t="str">
        <f>HYPERLINK("http://enext.ua/p012007")</f>
        <v>http://enext.ua/p012007</v>
      </c>
    </row>
    <row r="6565" spans="2:7" ht="11.25" outlineLevel="4" x14ac:dyDescent="0.2">
      <c r="B6565" s="14" t="s">
        <v>12371</v>
      </c>
      <c r="C6565" s="14" t="s">
        <v>12372</v>
      </c>
      <c r="D6565" s="14">
        <v>10</v>
      </c>
      <c r="E6565" s="15">
        <v>120.31</v>
      </c>
      <c r="F6565" s="16" t="s">
        <v>8</v>
      </c>
      <c r="G6565" s="38" t="str">
        <f>HYPERLINK("http://enext.ua/p012002")</f>
        <v>http://enext.ua/p012002</v>
      </c>
    </row>
    <row r="6566" spans="2:7" ht="11.25" outlineLevel="4" x14ac:dyDescent="0.2">
      <c r="B6566" s="14" t="s">
        <v>12373</v>
      </c>
      <c r="C6566" s="14" t="s">
        <v>12374</v>
      </c>
      <c r="D6566" s="14">
        <v>10</v>
      </c>
      <c r="E6566" s="15">
        <v>135.25</v>
      </c>
      <c r="F6566" s="16" t="s">
        <v>8</v>
      </c>
      <c r="G6566" s="38" t="str">
        <f>HYPERLINK("http://enext.ua/p012005")</f>
        <v>http://enext.ua/p012005</v>
      </c>
    </row>
    <row r="6567" spans="2:7" ht="11.25" outlineLevel="4" x14ac:dyDescent="0.2">
      <c r="B6567" s="14" t="s">
        <v>12375</v>
      </c>
      <c r="C6567" s="14" t="s">
        <v>12376</v>
      </c>
      <c r="D6567" s="14">
        <v>10</v>
      </c>
      <c r="E6567" s="15">
        <v>150.13</v>
      </c>
      <c r="F6567" s="16" t="s">
        <v>8</v>
      </c>
      <c r="G6567" s="38" t="str">
        <f>HYPERLINK("http://enext.ua/p012008")</f>
        <v>http://enext.ua/p012008</v>
      </c>
    </row>
    <row r="6568" spans="2:7" ht="11.25" outlineLevel="4" x14ac:dyDescent="0.2">
      <c r="B6568" s="14" t="s">
        <v>12377</v>
      </c>
      <c r="C6568" s="14" t="s">
        <v>12378</v>
      </c>
      <c r="D6568" s="14">
        <v>2</v>
      </c>
      <c r="E6568" s="15">
        <v>534.04999999999995</v>
      </c>
      <c r="F6568" s="16" t="s">
        <v>8</v>
      </c>
      <c r="G6568" s="38" t="str">
        <f>HYPERLINK("http://enext.ua/p012003")</f>
        <v>http://enext.ua/p012003</v>
      </c>
    </row>
    <row r="6569" spans="2:7" ht="11.25" outlineLevel="4" x14ac:dyDescent="0.2">
      <c r="B6569" s="14" t="s">
        <v>12379</v>
      </c>
      <c r="C6569" s="14" t="s">
        <v>12380</v>
      </c>
      <c r="D6569" s="14">
        <v>2</v>
      </c>
      <c r="E6569" s="15">
        <v>660</v>
      </c>
      <c r="F6569" s="16" t="s">
        <v>8</v>
      </c>
      <c r="G6569" s="38" t="str">
        <f>HYPERLINK("http://enext.ua/p012006")</f>
        <v>http://enext.ua/p012006</v>
      </c>
    </row>
    <row r="6570" spans="2:7" ht="11.25" outlineLevel="4" x14ac:dyDescent="0.2">
      <c r="B6570" s="14" t="s">
        <v>12381</v>
      </c>
      <c r="C6570" s="14" t="s">
        <v>12382</v>
      </c>
      <c r="D6570" s="14">
        <v>2</v>
      </c>
      <c r="E6570" s="15">
        <v>670.45</v>
      </c>
      <c r="F6570" s="16" t="s">
        <v>8</v>
      </c>
      <c r="G6570" s="38" t="str">
        <f>HYPERLINK("http://enext.ua/p012009")</f>
        <v>http://enext.ua/p012009</v>
      </c>
    </row>
    <row r="6571" spans="2:7" ht="11.25" outlineLevel="4" x14ac:dyDescent="0.2">
      <c r="B6571" s="14" t="s">
        <v>12383</v>
      </c>
      <c r="C6571" s="14" t="s">
        <v>12384</v>
      </c>
      <c r="D6571" s="14">
        <v>2</v>
      </c>
      <c r="E6571" s="17">
        <v>1869.52</v>
      </c>
      <c r="F6571" s="16" t="s">
        <v>8</v>
      </c>
      <c r="G6571" s="38" t="str">
        <f>HYPERLINK("http://enext.ua/p012028")</f>
        <v>http://enext.ua/p012028</v>
      </c>
    </row>
    <row r="6572" spans="2:7" ht="11.25" outlineLevel="4" x14ac:dyDescent="0.2">
      <c r="B6572" s="14" t="s">
        <v>12385</v>
      </c>
      <c r="C6572" s="14" t="s">
        <v>12386</v>
      </c>
      <c r="D6572" s="14">
        <v>2</v>
      </c>
      <c r="E6572" s="17">
        <v>2010.05</v>
      </c>
      <c r="F6572" s="16" t="s">
        <v>8</v>
      </c>
      <c r="G6572" s="38" t="str">
        <f>HYPERLINK("http://enext.ua/p012029")</f>
        <v>http://enext.ua/p012029</v>
      </c>
    </row>
    <row r="6573" spans="2:7" ht="11.25" outlineLevel="4" x14ac:dyDescent="0.2">
      <c r="B6573" s="14" t="s">
        <v>12387</v>
      </c>
      <c r="C6573" s="14" t="s">
        <v>12388</v>
      </c>
      <c r="D6573" s="14">
        <v>10</v>
      </c>
      <c r="E6573" s="15">
        <v>130.63</v>
      </c>
      <c r="F6573" s="16" t="s">
        <v>8</v>
      </c>
      <c r="G6573" s="38" t="str">
        <f>HYPERLINK("http://enext.ua/p012022")</f>
        <v>http://enext.ua/p012022</v>
      </c>
    </row>
    <row r="6574" spans="2:7" ht="11.25" outlineLevel="4" x14ac:dyDescent="0.2">
      <c r="B6574" s="14" t="s">
        <v>12389</v>
      </c>
      <c r="C6574" s="14" t="s">
        <v>12390</v>
      </c>
      <c r="D6574" s="14">
        <v>10</v>
      </c>
      <c r="E6574" s="15">
        <v>67.489999999999995</v>
      </c>
      <c r="F6574" s="16" t="s">
        <v>8</v>
      </c>
      <c r="G6574" s="38" t="str">
        <f>HYPERLINK("http://enext.ua/p012016")</f>
        <v>http://enext.ua/p012016</v>
      </c>
    </row>
    <row r="6575" spans="2:7" ht="11.25" outlineLevel="4" x14ac:dyDescent="0.2">
      <c r="B6575" s="14" t="s">
        <v>12391</v>
      </c>
      <c r="C6575" s="14" t="s">
        <v>12392</v>
      </c>
      <c r="D6575" s="14">
        <v>10</v>
      </c>
      <c r="E6575" s="15">
        <v>78.959999999999994</v>
      </c>
      <c r="F6575" s="16" t="s">
        <v>8</v>
      </c>
      <c r="G6575" s="38" t="str">
        <f>HYPERLINK("http://enext.ua/p012017")</f>
        <v>http://enext.ua/p012017</v>
      </c>
    </row>
    <row r="6576" spans="2:7" ht="11.25" outlineLevel="4" x14ac:dyDescent="0.2">
      <c r="B6576" s="14" t="s">
        <v>12393</v>
      </c>
      <c r="C6576" s="14" t="s">
        <v>12394</v>
      </c>
      <c r="D6576" s="14">
        <v>10</v>
      </c>
      <c r="E6576" s="15">
        <v>98.44</v>
      </c>
      <c r="F6576" s="16" t="s">
        <v>8</v>
      </c>
      <c r="G6576" s="38" t="str">
        <f>HYPERLINK("http://enext.ua/p012018")</f>
        <v>http://enext.ua/p012018</v>
      </c>
    </row>
    <row r="6577" spans="2:7" ht="11.25" outlineLevel="4" x14ac:dyDescent="0.2">
      <c r="B6577" s="14" t="s">
        <v>12395</v>
      </c>
      <c r="C6577" s="14" t="s">
        <v>12396</v>
      </c>
      <c r="D6577" s="14">
        <v>1</v>
      </c>
      <c r="E6577" s="15">
        <v>101.36</v>
      </c>
      <c r="F6577" s="16" t="s">
        <v>8</v>
      </c>
      <c r="G6577" s="38" t="str">
        <f>HYPERLINK("http://enext.ua/p012019")</f>
        <v>http://enext.ua/p012019</v>
      </c>
    </row>
    <row r="6578" spans="2:7" ht="11.25" outlineLevel="4" x14ac:dyDescent="0.2">
      <c r="B6578" s="14" t="s">
        <v>12397</v>
      </c>
      <c r="C6578" s="14" t="s">
        <v>12398</v>
      </c>
      <c r="D6578" s="14">
        <v>10</v>
      </c>
      <c r="E6578" s="15">
        <v>117.36</v>
      </c>
      <c r="F6578" s="16" t="s">
        <v>8</v>
      </c>
      <c r="G6578" s="38" t="str">
        <f>HYPERLINK("http://enext.ua/p012020")</f>
        <v>http://enext.ua/p012020</v>
      </c>
    </row>
    <row r="6579" spans="2:7" ht="11.25" outlineLevel="4" x14ac:dyDescent="0.2">
      <c r="B6579" s="14" t="s">
        <v>12399</v>
      </c>
      <c r="C6579" s="14" t="s">
        <v>12400</v>
      </c>
      <c r="D6579" s="14">
        <v>10</v>
      </c>
      <c r="E6579" s="15">
        <v>131.96</v>
      </c>
      <c r="F6579" s="16" t="s">
        <v>8</v>
      </c>
      <c r="G6579" s="38" t="str">
        <f>HYPERLINK("http://enext.ua/p012021")</f>
        <v>http://enext.ua/p012021</v>
      </c>
    </row>
    <row r="6580" spans="2:7" ht="11.25" outlineLevel="4" x14ac:dyDescent="0.2">
      <c r="B6580" s="14" t="s">
        <v>12401</v>
      </c>
      <c r="C6580" s="14" t="s">
        <v>12402</v>
      </c>
      <c r="D6580" s="14">
        <v>2</v>
      </c>
      <c r="E6580" s="15">
        <v>461.14</v>
      </c>
      <c r="F6580" s="16" t="s">
        <v>8</v>
      </c>
      <c r="G6580" s="38" t="str">
        <f>HYPERLINK("http://enext.ua/p012024")</f>
        <v>http://enext.ua/p012024</v>
      </c>
    </row>
    <row r="6581" spans="2:7" ht="11.25" outlineLevel="4" x14ac:dyDescent="0.2">
      <c r="B6581" s="14" t="s">
        <v>12403</v>
      </c>
      <c r="C6581" s="14" t="s">
        <v>12404</v>
      </c>
      <c r="D6581" s="14">
        <v>2</v>
      </c>
      <c r="E6581" s="15">
        <v>493.36</v>
      </c>
      <c r="F6581" s="16" t="s">
        <v>8</v>
      </c>
      <c r="G6581" s="38" t="str">
        <f>HYPERLINK("http://enext.ua/p012025")</f>
        <v>http://enext.ua/p012025</v>
      </c>
    </row>
    <row r="6582" spans="2:7" ht="11.25" outlineLevel="4" x14ac:dyDescent="0.2">
      <c r="B6582" s="14" t="s">
        <v>12405</v>
      </c>
      <c r="C6582" s="14" t="s">
        <v>12406</v>
      </c>
      <c r="D6582" s="14">
        <v>2</v>
      </c>
      <c r="E6582" s="17">
        <v>1833.2</v>
      </c>
      <c r="F6582" s="16" t="s">
        <v>8</v>
      </c>
      <c r="G6582" s="38" t="str">
        <f>HYPERLINK("http://enext.ua/p012026")</f>
        <v>http://enext.ua/p012026</v>
      </c>
    </row>
    <row r="6583" spans="2:7" ht="11.25" outlineLevel="4" x14ac:dyDescent="0.2">
      <c r="B6583" s="14" t="s">
        <v>12407</v>
      </c>
      <c r="C6583" s="14" t="s">
        <v>12408</v>
      </c>
      <c r="D6583" s="14">
        <v>2</v>
      </c>
      <c r="E6583" s="17">
        <v>1907.14</v>
      </c>
      <c r="F6583" s="16" t="s">
        <v>8</v>
      </c>
      <c r="G6583" s="38" t="str">
        <f>HYPERLINK("http://enext.ua/p012027")</f>
        <v>http://enext.ua/p012027</v>
      </c>
    </row>
    <row r="6584" spans="2:7" ht="11.25" outlineLevel="4" x14ac:dyDescent="0.2">
      <c r="B6584" s="14" t="s">
        <v>12409</v>
      </c>
      <c r="C6584" s="14" t="s">
        <v>12410</v>
      </c>
      <c r="D6584" s="14">
        <v>10</v>
      </c>
      <c r="E6584" s="15">
        <v>73.98</v>
      </c>
      <c r="F6584" s="16" t="s">
        <v>8</v>
      </c>
      <c r="G6584" s="38" t="str">
        <f>HYPERLINK("http://enext.ua/p012010")</f>
        <v>http://enext.ua/p012010</v>
      </c>
    </row>
    <row r="6585" spans="2:7" ht="11.25" outlineLevel="4" x14ac:dyDescent="0.2">
      <c r="B6585" s="14" t="s">
        <v>12411</v>
      </c>
      <c r="C6585" s="14" t="s">
        <v>12412</v>
      </c>
      <c r="D6585" s="14">
        <v>10</v>
      </c>
      <c r="E6585" s="15">
        <v>86.44</v>
      </c>
      <c r="F6585" s="16" t="s">
        <v>8</v>
      </c>
      <c r="G6585" s="38" t="str">
        <f>HYPERLINK("http://enext.ua/p012012")</f>
        <v>http://enext.ua/p012012</v>
      </c>
    </row>
    <row r="6586" spans="2:7" ht="11.25" outlineLevel="4" x14ac:dyDescent="0.2">
      <c r="B6586" s="14" t="s">
        <v>12413</v>
      </c>
      <c r="C6586" s="14" t="s">
        <v>12414</v>
      </c>
      <c r="D6586" s="14">
        <v>10</v>
      </c>
      <c r="E6586" s="15">
        <v>107.44</v>
      </c>
      <c r="F6586" s="16" t="s">
        <v>8</v>
      </c>
      <c r="G6586" s="38" t="str">
        <f>HYPERLINK("http://enext.ua/p012014")</f>
        <v>http://enext.ua/p012014</v>
      </c>
    </row>
    <row r="6587" spans="2:7" ht="11.25" outlineLevel="4" x14ac:dyDescent="0.2">
      <c r="B6587" s="14" t="s">
        <v>12415</v>
      </c>
      <c r="C6587" s="14" t="s">
        <v>12416</v>
      </c>
      <c r="D6587" s="14">
        <v>10</v>
      </c>
      <c r="E6587" s="15">
        <v>86.08</v>
      </c>
      <c r="F6587" s="16" t="s">
        <v>8</v>
      </c>
      <c r="G6587" s="38" t="str">
        <f>HYPERLINK("http://enext.ua/p012011")</f>
        <v>http://enext.ua/p012011</v>
      </c>
    </row>
    <row r="6588" spans="2:7" ht="11.25" outlineLevel="4" x14ac:dyDescent="0.2">
      <c r="B6588" s="14" t="s">
        <v>12417</v>
      </c>
      <c r="C6588" s="14" t="s">
        <v>12418</v>
      </c>
      <c r="D6588" s="14">
        <v>10</v>
      </c>
      <c r="E6588" s="15">
        <v>122.38</v>
      </c>
      <c r="F6588" s="16" t="s">
        <v>8</v>
      </c>
      <c r="G6588" s="38" t="str">
        <f>HYPERLINK("http://enext.ua/p012013")</f>
        <v>http://enext.ua/p012013</v>
      </c>
    </row>
    <row r="6589" spans="2:7" ht="11.25" outlineLevel="4" x14ac:dyDescent="0.2">
      <c r="B6589" s="14" t="s">
        <v>12419</v>
      </c>
      <c r="C6589" s="14" t="s">
        <v>12420</v>
      </c>
      <c r="D6589" s="14">
        <v>10</v>
      </c>
      <c r="E6589" s="15">
        <v>140.53</v>
      </c>
      <c r="F6589" s="16" t="s">
        <v>8</v>
      </c>
      <c r="G6589" s="38" t="str">
        <f>HYPERLINK("http://enext.ua/p012015")</f>
        <v>http://enext.ua/p012015</v>
      </c>
    </row>
    <row r="6590" spans="2:7" ht="12" outlineLevel="3" x14ac:dyDescent="0.2">
      <c r="B6590" s="10"/>
      <c r="C6590" s="36" t="s">
        <v>12421</v>
      </c>
      <c r="D6590" s="10"/>
      <c r="E6590" s="11"/>
      <c r="F6590" s="11"/>
      <c r="G6590" s="10"/>
    </row>
    <row r="6591" spans="2:7" ht="11.25" outlineLevel="4" x14ac:dyDescent="0.2">
      <c r="B6591" s="14" t="s">
        <v>12422</v>
      </c>
      <c r="C6591" s="14" t="s">
        <v>12423</v>
      </c>
      <c r="D6591" s="14">
        <v>10</v>
      </c>
      <c r="E6591" s="15">
        <v>119.06</v>
      </c>
      <c r="F6591" s="16" t="s">
        <v>8</v>
      </c>
      <c r="G6591" s="38" t="str">
        <f>HYPERLINK("http://enext.ua/i082001")</f>
        <v>http://enext.ua/i082001</v>
      </c>
    </row>
    <row r="6592" spans="2:7" ht="11.25" outlineLevel="4" x14ac:dyDescent="0.2">
      <c r="B6592" s="14" t="s">
        <v>12424</v>
      </c>
      <c r="C6592" s="14" t="s">
        <v>12425</v>
      </c>
      <c r="D6592" s="14">
        <v>10</v>
      </c>
      <c r="E6592" s="15">
        <v>142.87</v>
      </c>
      <c r="F6592" s="16" t="s">
        <v>8</v>
      </c>
      <c r="G6592" s="38" t="str">
        <f>HYPERLINK("http://enext.ua/i082002")</f>
        <v>http://enext.ua/i082002</v>
      </c>
    </row>
    <row r="6593" spans="2:7" ht="11.25" outlineLevel="4" x14ac:dyDescent="0.2">
      <c r="B6593" s="14" t="s">
        <v>12426</v>
      </c>
      <c r="C6593" s="14" t="s">
        <v>12427</v>
      </c>
      <c r="D6593" s="14">
        <v>10</v>
      </c>
      <c r="E6593" s="15">
        <v>168.59</v>
      </c>
      <c r="F6593" s="16" t="s">
        <v>8</v>
      </c>
      <c r="G6593" s="38" t="str">
        <f>HYPERLINK("http://enext.ua/i082003")</f>
        <v>http://enext.ua/i082003</v>
      </c>
    </row>
    <row r="6594" spans="2:7" ht="11.25" outlineLevel="4" x14ac:dyDescent="0.2">
      <c r="B6594" s="14" t="s">
        <v>12428</v>
      </c>
      <c r="C6594" s="14" t="s">
        <v>12429</v>
      </c>
      <c r="D6594" s="14">
        <v>10</v>
      </c>
      <c r="E6594" s="15">
        <v>175.25</v>
      </c>
      <c r="F6594" s="16" t="s">
        <v>8</v>
      </c>
      <c r="G6594" s="38" t="str">
        <f>HYPERLINK("http://enext.ua/i082004")</f>
        <v>http://enext.ua/i082004</v>
      </c>
    </row>
    <row r="6595" spans="2:7" ht="11.25" outlineLevel="4" x14ac:dyDescent="0.2">
      <c r="B6595" s="14" t="s">
        <v>12430</v>
      </c>
      <c r="C6595" s="14" t="s">
        <v>12431</v>
      </c>
      <c r="D6595" s="14">
        <v>10</v>
      </c>
      <c r="E6595" s="15">
        <v>196.21</v>
      </c>
      <c r="F6595" s="16" t="s">
        <v>8</v>
      </c>
      <c r="G6595" s="38" t="str">
        <f>HYPERLINK("http://enext.ua/i082005")</f>
        <v>http://enext.ua/i082005</v>
      </c>
    </row>
    <row r="6596" spans="2:7" ht="11.25" outlineLevel="4" x14ac:dyDescent="0.2">
      <c r="B6596" s="14" t="s">
        <v>12432</v>
      </c>
      <c r="C6596" s="14" t="s">
        <v>12433</v>
      </c>
      <c r="D6596" s="14">
        <v>10</v>
      </c>
      <c r="E6596" s="15">
        <v>222.88</v>
      </c>
      <c r="F6596" s="16" t="s">
        <v>8</v>
      </c>
      <c r="G6596" s="38" t="str">
        <f>HYPERLINK("http://enext.ua/i082006")</f>
        <v>http://enext.ua/i082006</v>
      </c>
    </row>
    <row r="6597" spans="2:7" ht="11.25" outlineLevel="4" x14ac:dyDescent="0.2">
      <c r="B6597" s="14" t="s">
        <v>12434</v>
      </c>
      <c r="C6597" s="14" t="s">
        <v>12435</v>
      </c>
      <c r="D6597" s="14">
        <v>10</v>
      </c>
      <c r="E6597" s="15">
        <v>219.07</v>
      </c>
      <c r="F6597" s="16" t="s">
        <v>8</v>
      </c>
      <c r="G6597" s="38" t="str">
        <f>HYPERLINK("http://enext.ua/i082007")</f>
        <v>http://enext.ua/i082007</v>
      </c>
    </row>
    <row r="6598" spans="2:7" ht="11.25" outlineLevel="4" x14ac:dyDescent="0.2">
      <c r="B6598" s="14" t="s">
        <v>12436</v>
      </c>
      <c r="C6598" s="14" t="s">
        <v>12437</v>
      </c>
      <c r="D6598" s="14">
        <v>10</v>
      </c>
      <c r="E6598" s="15">
        <v>236.21</v>
      </c>
      <c r="F6598" s="16" t="s">
        <v>8</v>
      </c>
      <c r="G6598" s="38" t="str">
        <f>HYPERLINK("http://enext.ua/i082008")</f>
        <v>http://enext.ua/i082008</v>
      </c>
    </row>
    <row r="6599" spans="2:7" ht="11.25" outlineLevel="4" x14ac:dyDescent="0.2">
      <c r="B6599" s="14" t="s">
        <v>12438</v>
      </c>
      <c r="C6599" s="14" t="s">
        <v>12439</v>
      </c>
      <c r="D6599" s="14">
        <v>10</v>
      </c>
      <c r="E6599" s="15">
        <v>252.4</v>
      </c>
      <c r="F6599" s="16" t="s">
        <v>8</v>
      </c>
      <c r="G6599" s="38" t="str">
        <f>HYPERLINK("http://enext.ua/i082009")</f>
        <v>http://enext.ua/i082009</v>
      </c>
    </row>
    <row r="6600" spans="2:7" ht="11.25" outlineLevel="4" x14ac:dyDescent="0.2">
      <c r="B6600" s="14" t="s">
        <v>12440</v>
      </c>
      <c r="C6600" s="14" t="s">
        <v>12441</v>
      </c>
      <c r="D6600" s="14">
        <v>10</v>
      </c>
      <c r="E6600" s="15">
        <v>262.88</v>
      </c>
      <c r="F6600" s="16" t="s">
        <v>8</v>
      </c>
      <c r="G6600" s="38" t="str">
        <f>HYPERLINK("http://enext.ua/i082010")</f>
        <v>http://enext.ua/i082010</v>
      </c>
    </row>
    <row r="6601" spans="2:7" ht="11.25" outlineLevel="4" x14ac:dyDescent="0.2">
      <c r="B6601" s="14" t="s">
        <v>12442</v>
      </c>
      <c r="C6601" s="14" t="s">
        <v>12443</v>
      </c>
      <c r="D6601" s="14">
        <v>10</v>
      </c>
      <c r="E6601" s="15">
        <v>281.93</v>
      </c>
      <c r="F6601" s="16" t="s">
        <v>8</v>
      </c>
      <c r="G6601" s="38" t="str">
        <f>HYPERLINK("http://enext.ua/i082011")</f>
        <v>http://enext.ua/i082011</v>
      </c>
    </row>
    <row r="6602" spans="2:7" ht="11.25" outlineLevel="4" x14ac:dyDescent="0.2">
      <c r="B6602" s="14" t="s">
        <v>12444</v>
      </c>
      <c r="C6602" s="14" t="s">
        <v>12445</v>
      </c>
      <c r="D6602" s="14">
        <v>10</v>
      </c>
      <c r="E6602" s="15">
        <v>312.41000000000003</v>
      </c>
      <c r="F6602" s="16" t="s">
        <v>8</v>
      </c>
      <c r="G6602" s="38" t="str">
        <f>HYPERLINK("http://enext.ua/i082012")</f>
        <v>http://enext.ua/i082012</v>
      </c>
    </row>
    <row r="6603" spans="2:7" ht="11.25" outlineLevel="4" x14ac:dyDescent="0.2">
      <c r="B6603" s="14" t="s">
        <v>12446</v>
      </c>
      <c r="C6603" s="14" t="s">
        <v>12447</v>
      </c>
      <c r="D6603" s="14">
        <v>10</v>
      </c>
      <c r="E6603" s="15">
        <v>136.19999999999999</v>
      </c>
      <c r="F6603" s="16" t="s">
        <v>8</v>
      </c>
      <c r="G6603" s="38" t="str">
        <f>HYPERLINK("http://enext.ua/i082013")</f>
        <v>http://enext.ua/i082013</v>
      </c>
    </row>
    <row r="6604" spans="2:7" ht="11.25" outlineLevel="4" x14ac:dyDescent="0.2">
      <c r="B6604" s="14" t="s">
        <v>12448</v>
      </c>
      <c r="C6604" s="14" t="s">
        <v>12449</v>
      </c>
      <c r="D6604" s="14">
        <v>10</v>
      </c>
      <c r="E6604" s="15">
        <v>159.06</v>
      </c>
      <c r="F6604" s="16" t="s">
        <v>8</v>
      </c>
      <c r="G6604" s="38" t="str">
        <f>HYPERLINK("http://enext.ua/i082014")</f>
        <v>http://enext.ua/i082014</v>
      </c>
    </row>
    <row r="6605" spans="2:7" ht="11.25" outlineLevel="4" x14ac:dyDescent="0.2">
      <c r="B6605" s="14" t="s">
        <v>12450</v>
      </c>
      <c r="C6605" s="14" t="s">
        <v>12451</v>
      </c>
      <c r="D6605" s="14">
        <v>10</v>
      </c>
      <c r="E6605" s="15">
        <v>182.87</v>
      </c>
      <c r="F6605" s="16" t="s">
        <v>8</v>
      </c>
      <c r="G6605" s="38" t="str">
        <f>HYPERLINK("http://enext.ua/i082015")</f>
        <v>http://enext.ua/i082015</v>
      </c>
    </row>
    <row r="6606" spans="2:7" ht="11.25" outlineLevel="4" x14ac:dyDescent="0.2">
      <c r="B6606" s="14" t="s">
        <v>12452</v>
      </c>
      <c r="C6606" s="14" t="s">
        <v>12453</v>
      </c>
      <c r="D6606" s="14">
        <v>10</v>
      </c>
      <c r="E6606" s="15">
        <v>203.83</v>
      </c>
      <c r="F6606" s="16" t="s">
        <v>8</v>
      </c>
      <c r="G6606" s="38" t="str">
        <f>HYPERLINK("http://enext.ua/i082016")</f>
        <v>http://enext.ua/i082016</v>
      </c>
    </row>
    <row r="6607" spans="2:7" ht="11.25" outlineLevel="4" x14ac:dyDescent="0.2">
      <c r="B6607" s="14" t="s">
        <v>12454</v>
      </c>
      <c r="C6607" s="14" t="s">
        <v>12455</v>
      </c>
      <c r="D6607" s="14">
        <v>10</v>
      </c>
      <c r="E6607" s="15">
        <v>219.07</v>
      </c>
      <c r="F6607" s="16" t="s">
        <v>8</v>
      </c>
      <c r="G6607" s="38" t="str">
        <f>HYPERLINK("http://enext.ua/i082017")</f>
        <v>http://enext.ua/i082017</v>
      </c>
    </row>
    <row r="6608" spans="2:7" ht="11.25" outlineLevel="4" x14ac:dyDescent="0.2">
      <c r="B6608" s="14" t="s">
        <v>12456</v>
      </c>
      <c r="C6608" s="14" t="s">
        <v>12457</v>
      </c>
      <c r="D6608" s="14">
        <v>10</v>
      </c>
      <c r="E6608" s="15">
        <v>244.78</v>
      </c>
      <c r="F6608" s="16" t="s">
        <v>8</v>
      </c>
      <c r="G6608" s="38" t="str">
        <f>HYPERLINK("http://enext.ua/i082018")</f>
        <v>http://enext.ua/i082018</v>
      </c>
    </row>
    <row r="6609" spans="2:7" ht="12" outlineLevel="3" x14ac:dyDescent="0.2">
      <c r="B6609" s="10"/>
      <c r="C6609" s="36" t="s">
        <v>12458</v>
      </c>
      <c r="D6609" s="10"/>
      <c r="E6609" s="11"/>
      <c r="F6609" s="11"/>
      <c r="G6609" s="10"/>
    </row>
    <row r="6610" spans="2:7" ht="11.25" outlineLevel="4" x14ac:dyDescent="0.2">
      <c r="B6610" s="14" t="s">
        <v>12459</v>
      </c>
      <c r="C6610" s="14" t="s">
        <v>12460</v>
      </c>
      <c r="D6610" s="14">
        <v>1</v>
      </c>
      <c r="E6610" s="15">
        <v>438.57</v>
      </c>
      <c r="F6610" s="16" t="s">
        <v>8</v>
      </c>
      <c r="G6610" s="38" t="str">
        <f>HYPERLINK("http://enext.ua/3322-326")</f>
        <v>http://enext.ua/3322-326</v>
      </c>
    </row>
    <row r="6611" spans="2:7" ht="11.25" outlineLevel="4" x14ac:dyDescent="0.2">
      <c r="B6611" s="14" t="s">
        <v>12461</v>
      </c>
      <c r="C6611" s="14" t="s">
        <v>12462</v>
      </c>
      <c r="D6611" s="14">
        <v>1</v>
      </c>
      <c r="E6611" s="15">
        <v>125.62</v>
      </c>
      <c r="F6611" s="16" t="s">
        <v>8</v>
      </c>
      <c r="G6611" s="38" t="str">
        <f>HYPERLINK("http://enext.ua/067")</f>
        <v>http://enext.ua/067</v>
      </c>
    </row>
    <row r="6612" spans="2:7" ht="11.25" outlineLevel="4" x14ac:dyDescent="0.2">
      <c r="B6612" s="14" t="s">
        <v>12463</v>
      </c>
      <c r="C6612" s="14" t="s">
        <v>12464</v>
      </c>
      <c r="D6612" s="14">
        <v>1</v>
      </c>
      <c r="E6612" s="15">
        <v>409.44</v>
      </c>
      <c r="F6612" s="16" t="s">
        <v>8</v>
      </c>
      <c r="G6612" s="38" t="str">
        <f>HYPERLINK("http://enext.ua/3624-337")</f>
        <v>http://enext.ua/3624-337</v>
      </c>
    </row>
    <row r="6613" spans="2:7" ht="11.25" outlineLevel="4" x14ac:dyDescent="0.2">
      <c r="B6613" s="14" t="s">
        <v>12465</v>
      </c>
      <c r="C6613" s="14" t="s">
        <v>12466</v>
      </c>
      <c r="D6613" s="14">
        <v>1</v>
      </c>
      <c r="E6613" s="15">
        <v>140.62</v>
      </c>
      <c r="F6613" s="16" t="s">
        <v>8</v>
      </c>
      <c r="G6613" s="38" t="str">
        <f>HYPERLINK("http://enext.ua/007")</f>
        <v>http://enext.ua/007</v>
      </c>
    </row>
    <row r="6614" spans="2:7" ht="11.25" outlineLevel="4" x14ac:dyDescent="0.2">
      <c r="B6614" s="14" t="s">
        <v>12467</v>
      </c>
      <c r="C6614" s="14" t="s">
        <v>12468</v>
      </c>
      <c r="D6614" s="14">
        <v>1</v>
      </c>
      <c r="E6614" s="15">
        <v>157.37</v>
      </c>
      <c r="F6614" s="16" t="s">
        <v>8</v>
      </c>
      <c r="G6614" s="38" t="str">
        <f>HYPERLINK("http://enext.ua/009")</f>
        <v>http://enext.ua/009</v>
      </c>
    </row>
    <row r="6615" spans="2:7" ht="11.25" outlineLevel="4" x14ac:dyDescent="0.2">
      <c r="B6615" s="14" t="s">
        <v>12469</v>
      </c>
      <c r="C6615" s="14" t="s">
        <v>12470</v>
      </c>
      <c r="D6615" s="14">
        <v>1</v>
      </c>
      <c r="E6615" s="15">
        <v>158.53</v>
      </c>
      <c r="F6615" s="16" t="s">
        <v>8</v>
      </c>
      <c r="G6615" s="38" t="str">
        <f>HYPERLINK("http://enext.ua/043")</f>
        <v>http://enext.ua/043</v>
      </c>
    </row>
    <row r="6616" spans="2:7" ht="11.25" outlineLevel="4" x14ac:dyDescent="0.2">
      <c r="B6616" s="14" t="s">
        <v>12471</v>
      </c>
      <c r="C6616" s="14" t="s">
        <v>12472</v>
      </c>
      <c r="D6616" s="14">
        <v>1</v>
      </c>
      <c r="E6616" s="15">
        <v>500.41</v>
      </c>
      <c r="F6616" s="16" t="s">
        <v>8</v>
      </c>
      <c r="G6616" s="38" t="str">
        <f>HYPERLINK("http://enext.ua/3626-337")</f>
        <v>http://enext.ua/3626-337</v>
      </c>
    </row>
    <row r="6617" spans="2:7" ht="11.25" outlineLevel="4" x14ac:dyDescent="0.2">
      <c r="B6617" s="14" t="s">
        <v>12473</v>
      </c>
      <c r="C6617" s="14" t="s">
        <v>12474</v>
      </c>
      <c r="D6617" s="14">
        <v>1</v>
      </c>
      <c r="E6617" s="15">
        <v>212.23</v>
      </c>
      <c r="F6617" s="16" t="s">
        <v>8</v>
      </c>
      <c r="G6617" s="38" t="str">
        <f>HYPERLINK("http://enext.ua/044")</f>
        <v>http://enext.ua/044</v>
      </c>
    </row>
    <row r="6618" spans="2:7" ht="11.25" outlineLevel="4" x14ac:dyDescent="0.2">
      <c r="B6618" s="14" t="s">
        <v>12475</v>
      </c>
      <c r="C6618" s="14" t="s">
        <v>12476</v>
      </c>
      <c r="D6618" s="14">
        <v>1</v>
      </c>
      <c r="E6618" s="15">
        <v>593.66999999999996</v>
      </c>
      <c r="F6618" s="16" t="s">
        <v>8</v>
      </c>
      <c r="G6618" s="38" t="str">
        <f>HYPERLINK("http://enext.ua/3646-337")</f>
        <v>http://enext.ua/3646-337</v>
      </c>
    </row>
    <row r="6619" spans="2:7" ht="11.25" outlineLevel="4" x14ac:dyDescent="0.2">
      <c r="B6619" s="14" t="s">
        <v>12477</v>
      </c>
      <c r="C6619" s="14" t="s">
        <v>12478</v>
      </c>
      <c r="D6619" s="14">
        <v>1</v>
      </c>
      <c r="E6619" s="15">
        <v>948.26</v>
      </c>
      <c r="F6619" s="16" t="s">
        <v>8</v>
      </c>
      <c r="G6619" s="38" t="str">
        <f>HYPERLINK("http://enext.ua/049")</f>
        <v>http://enext.ua/049</v>
      </c>
    </row>
    <row r="6620" spans="2:7" ht="11.25" outlineLevel="4" x14ac:dyDescent="0.2">
      <c r="B6620" s="14" t="s">
        <v>12479</v>
      </c>
      <c r="C6620" s="14" t="s">
        <v>12480</v>
      </c>
      <c r="D6620" s="14">
        <v>1</v>
      </c>
      <c r="E6620" s="15">
        <v>338.14</v>
      </c>
      <c r="F6620" s="16" t="s">
        <v>8</v>
      </c>
      <c r="G6620" s="38" t="str">
        <f>HYPERLINK("http://enext.ua/3629-724")</f>
        <v>http://enext.ua/3629-724</v>
      </c>
    </row>
    <row r="6621" spans="2:7" ht="11.25" outlineLevel="4" x14ac:dyDescent="0.2">
      <c r="B6621" s="14" t="s">
        <v>12481</v>
      </c>
      <c r="C6621" s="14" t="s">
        <v>12482</v>
      </c>
      <c r="D6621" s="14">
        <v>1</v>
      </c>
      <c r="E6621" s="15">
        <v>254.67</v>
      </c>
      <c r="F6621" s="16" t="s">
        <v>8</v>
      </c>
      <c r="G6621" s="38" t="str">
        <f>HYPERLINK("http://enext.ua/3622-724")</f>
        <v>http://enext.ua/3622-724</v>
      </c>
    </row>
    <row r="6622" spans="2:7" ht="11.25" outlineLevel="4" x14ac:dyDescent="0.2">
      <c r="B6622" s="14" t="s">
        <v>12483</v>
      </c>
      <c r="C6622" s="14" t="s">
        <v>12484</v>
      </c>
      <c r="D6622" s="14">
        <v>1</v>
      </c>
      <c r="E6622" s="15">
        <v>422.16</v>
      </c>
      <c r="F6622" s="16" t="s">
        <v>8</v>
      </c>
      <c r="G6622" s="38" t="str">
        <f>HYPERLINK("http://enext.ua/3642-724")</f>
        <v>http://enext.ua/3642-724</v>
      </c>
    </row>
    <row r="6623" spans="2:7" ht="11.25" outlineLevel="4" x14ac:dyDescent="0.2">
      <c r="B6623" s="14" t="s">
        <v>12485</v>
      </c>
      <c r="C6623" s="14" t="s">
        <v>12486</v>
      </c>
      <c r="D6623" s="14">
        <v>1</v>
      </c>
      <c r="E6623" s="15">
        <v>235.96</v>
      </c>
      <c r="F6623" s="16" t="s">
        <v>8</v>
      </c>
      <c r="G6623" s="38" t="str">
        <f>HYPERLINK("http://enext.ua/3623-724")</f>
        <v>http://enext.ua/3623-724</v>
      </c>
    </row>
    <row r="6624" spans="2:7" ht="11.25" outlineLevel="4" x14ac:dyDescent="0.2">
      <c r="B6624" s="14" t="s">
        <v>12487</v>
      </c>
      <c r="C6624" s="14" t="s">
        <v>12488</v>
      </c>
      <c r="D6624" s="14">
        <v>1</v>
      </c>
      <c r="E6624" s="15">
        <v>374.79</v>
      </c>
      <c r="F6624" s="16" t="s">
        <v>8</v>
      </c>
      <c r="G6624" s="38" t="str">
        <f>HYPERLINK("http://enext.ua/3643-724")</f>
        <v>http://enext.ua/3643-724</v>
      </c>
    </row>
    <row r="6625" spans="2:7" ht="11.25" outlineLevel="4" x14ac:dyDescent="0.2">
      <c r="B6625" s="14" t="s">
        <v>12489</v>
      </c>
      <c r="C6625" s="14" t="s">
        <v>12490</v>
      </c>
      <c r="D6625" s="14">
        <v>1</v>
      </c>
      <c r="E6625" s="15">
        <v>170.08</v>
      </c>
      <c r="F6625" s="16" t="s">
        <v>8</v>
      </c>
      <c r="G6625" s="38" t="str">
        <f>HYPERLINK("http://enext.ua/3628-326")</f>
        <v>http://enext.ua/3628-326</v>
      </c>
    </row>
    <row r="6626" spans="2:7" ht="11.25" outlineLevel="4" x14ac:dyDescent="0.2">
      <c r="B6626" s="14" t="s">
        <v>12491</v>
      </c>
      <c r="C6626" s="14" t="s">
        <v>12492</v>
      </c>
      <c r="D6626" s="14">
        <v>1</v>
      </c>
      <c r="E6626" s="15">
        <v>215.71</v>
      </c>
      <c r="F6626" s="16" t="s">
        <v>8</v>
      </c>
      <c r="G6626" s="38" t="str">
        <f>HYPERLINK("http://enext.ua/3648-326")</f>
        <v>http://enext.ua/3648-326</v>
      </c>
    </row>
    <row r="6627" spans="2:7" ht="11.25" outlineLevel="4" x14ac:dyDescent="0.2">
      <c r="B6627" s="14" t="s">
        <v>12493</v>
      </c>
      <c r="C6627" s="14" t="s">
        <v>12494</v>
      </c>
      <c r="D6627" s="14">
        <v>1</v>
      </c>
      <c r="E6627" s="15">
        <v>143.79</v>
      </c>
      <c r="F6627" s="16" t="s">
        <v>8</v>
      </c>
      <c r="G6627" s="38" t="str">
        <f>HYPERLINK("http://enext.ua/3627-326")</f>
        <v>http://enext.ua/3627-326</v>
      </c>
    </row>
    <row r="6628" spans="2:7" ht="11.25" outlineLevel="4" x14ac:dyDescent="0.2">
      <c r="B6628" s="14" t="s">
        <v>12495</v>
      </c>
      <c r="C6628" s="14" t="s">
        <v>12496</v>
      </c>
      <c r="D6628" s="14">
        <v>1</v>
      </c>
      <c r="E6628" s="15">
        <v>164.89</v>
      </c>
      <c r="F6628" s="16" t="s">
        <v>8</v>
      </c>
      <c r="G6628" s="38" t="str">
        <f>HYPERLINK("http://enext.ua/3647-326")</f>
        <v>http://enext.ua/3647-326</v>
      </c>
    </row>
    <row r="6629" spans="2:7" ht="11.25" outlineLevel="4" x14ac:dyDescent="0.2">
      <c r="B6629" s="14" t="s">
        <v>12497</v>
      </c>
      <c r="C6629" s="14" t="s">
        <v>12498</v>
      </c>
      <c r="D6629" s="14">
        <v>1</v>
      </c>
      <c r="E6629" s="15">
        <v>354.31</v>
      </c>
      <c r="F6629" s="16" t="s">
        <v>8</v>
      </c>
      <c r="G6629" s="38" t="str">
        <f>HYPERLINK("http://enext.ua/3624-230")</f>
        <v>http://enext.ua/3624-230</v>
      </c>
    </row>
    <row r="6630" spans="2:7" ht="11.25" outlineLevel="4" x14ac:dyDescent="0.2">
      <c r="B6630" s="14" t="s">
        <v>12499</v>
      </c>
      <c r="C6630" s="14" t="s">
        <v>12500</v>
      </c>
      <c r="D6630" s="14">
        <v>1</v>
      </c>
      <c r="E6630" s="15">
        <v>278.36</v>
      </c>
      <c r="F6630" s="16" t="s">
        <v>8</v>
      </c>
      <c r="G6630" s="38" t="str">
        <f>HYPERLINK("http://enext.ua/3629-220")</f>
        <v>http://enext.ua/3629-220</v>
      </c>
    </row>
    <row r="6631" spans="2:7" ht="11.25" outlineLevel="4" x14ac:dyDescent="0.2">
      <c r="B6631" s="14" t="s">
        <v>12501</v>
      </c>
      <c r="C6631" s="14" t="s">
        <v>12502</v>
      </c>
      <c r="D6631" s="14">
        <v>1</v>
      </c>
      <c r="E6631" s="15">
        <v>303.49</v>
      </c>
      <c r="F6631" s="16" t="s">
        <v>8</v>
      </c>
      <c r="G6631" s="38" t="str">
        <f>HYPERLINK("http://enext.ua/3643-220")</f>
        <v>http://enext.ua/3643-220</v>
      </c>
    </row>
    <row r="6632" spans="2:7" ht="11.25" outlineLevel="4" x14ac:dyDescent="0.2">
      <c r="B6632" s="14" t="s">
        <v>12503</v>
      </c>
      <c r="C6632" s="14" t="s">
        <v>12504</v>
      </c>
      <c r="D6632" s="14">
        <v>1</v>
      </c>
      <c r="E6632" s="15">
        <v>290.77</v>
      </c>
      <c r="F6632" s="16" t="s">
        <v>8</v>
      </c>
      <c r="G6632" s="38" t="str">
        <f>HYPERLINK("http://enext.ua/3622-220")</f>
        <v>http://enext.ua/3622-220</v>
      </c>
    </row>
    <row r="6633" spans="2:7" ht="11.25" outlineLevel="4" x14ac:dyDescent="0.2">
      <c r="B6633" s="14" t="s">
        <v>12505</v>
      </c>
      <c r="C6633" s="14" t="s">
        <v>12506</v>
      </c>
      <c r="D6633" s="14">
        <v>1</v>
      </c>
      <c r="E6633" s="15">
        <v>333.52</v>
      </c>
      <c r="F6633" s="16" t="s">
        <v>8</v>
      </c>
      <c r="G6633" s="38" t="str">
        <f>HYPERLINK("http://enext.ua/3642-220")</f>
        <v>http://enext.ua/3642-220</v>
      </c>
    </row>
    <row r="6634" spans="2:7" ht="11.25" outlineLevel="4" x14ac:dyDescent="0.2">
      <c r="B6634" s="14" t="s">
        <v>12507</v>
      </c>
      <c r="C6634" s="14" t="s">
        <v>12508</v>
      </c>
      <c r="D6634" s="14">
        <v>1</v>
      </c>
      <c r="E6634" s="15">
        <v>451.9</v>
      </c>
      <c r="F6634" s="16" t="s">
        <v>8</v>
      </c>
      <c r="G6634" s="38" t="str">
        <f>HYPERLINK("http://enext.ua/3626-230")</f>
        <v>http://enext.ua/3626-230</v>
      </c>
    </row>
    <row r="6635" spans="2:7" ht="11.25" outlineLevel="4" x14ac:dyDescent="0.2">
      <c r="B6635" s="14" t="s">
        <v>12509</v>
      </c>
      <c r="C6635" s="14" t="s">
        <v>12510</v>
      </c>
      <c r="D6635" s="14">
        <v>1</v>
      </c>
      <c r="E6635" s="15">
        <v>535.91999999999996</v>
      </c>
      <c r="F6635" s="16" t="s">
        <v>8</v>
      </c>
      <c r="G6635" s="38" t="str">
        <f>HYPERLINK("http://enext.ua/3646-230")</f>
        <v>http://enext.ua/3646-230</v>
      </c>
    </row>
    <row r="6636" spans="2:7" ht="11.25" outlineLevel="4" x14ac:dyDescent="0.2">
      <c r="B6636" s="14" t="s">
        <v>12511</v>
      </c>
      <c r="C6636" s="14" t="s">
        <v>12512</v>
      </c>
      <c r="D6636" s="14">
        <v>1</v>
      </c>
      <c r="E6636" s="15">
        <v>254.67</v>
      </c>
      <c r="F6636" s="16" t="s">
        <v>8</v>
      </c>
      <c r="G6636" s="38" t="str">
        <f>HYPERLINK("http://enext.ua/3623-220")</f>
        <v>http://enext.ua/3623-220</v>
      </c>
    </row>
    <row r="6637" spans="2:7" ht="12" outlineLevel="3" x14ac:dyDescent="0.2">
      <c r="B6637" s="10"/>
      <c r="C6637" s="36" t="s">
        <v>12513</v>
      </c>
      <c r="D6637" s="10"/>
      <c r="E6637" s="11"/>
      <c r="F6637" s="11"/>
      <c r="G6637" s="10"/>
    </row>
    <row r="6638" spans="2:7" ht="11.25" outlineLevel="4" x14ac:dyDescent="0.2">
      <c r="B6638" s="14" t="s">
        <v>12514</v>
      </c>
      <c r="C6638" s="14" t="s">
        <v>12515</v>
      </c>
      <c r="D6638" s="14">
        <v>1</v>
      </c>
      <c r="E6638" s="15">
        <v>190.58</v>
      </c>
      <c r="F6638" s="16" t="s">
        <v>8</v>
      </c>
      <c r="G6638" s="38" t="str">
        <f>HYPERLINK("http://enext.ua/106S")</f>
        <v>http://enext.ua/106S</v>
      </c>
    </row>
    <row r="6639" spans="2:7" ht="12" outlineLevel="3" x14ac:dyDescent="0.2">
      <c r="B6639" s="10"/>
      <c r="C6639" s="36" t="s">
        <v>12516</v>
      </c>
      <c r="D6639" s="10"/>
      <c r="E6639" s="11"/>
      <c r="F6639" s="11"/>
      <c r="G6639" s="10"/>
    </row>
    <row r="6640" spans="2:7" ht="11.25" outlineLevel="4" x14ac:dyDescent="0.2">
      <c r="B6640" s="14" t="s">
        <v>12517</v>
      </c>
      <c r="C6640" s="14" t="s">
        <v>12518</v>
      </c>
      <c r="D6640" s="14">
        <v>1</v>
      </c>
      <c r="E6640" s="15">
        <v>74.489999999999995</v>
      </c>
      <c r="F6640" s="16" t="s">
        <v>8</v>
      </c>
      <c r="G6640" s="38" t="str">
        <f>HYPERLINK("http://enext.ua/056")</f>
        <v>http://enext.ua/056</v>
      </c>
    </row>
    <row r="6641" spans="2:7" ht="11.25" outlineLevel="4" x14ac:dyDescent="0.2">
      <c r="B6641" s="14" t="s">
        <v>12519</v>
      </c>
      <c r="C6641" s="14" t="s">
        <v>12520</v>
      </c>
      <c r="D6641" s="14">
        <v>1</v>
      </c>
      <c r="E6641" s="15">
        <v>257.29000000000002</v>
      </c>
      <c r="F6641" s="16" t="s">
        <v>8</v>
      </c>
      <c r="G6641" s="38" t="str">
        <f>HYPERLINK("http://enext.ua/2629-326")</f>
        <v>http://enext.ua/2629-326</v>
      </c>
    </row>
    <row r="6642" spans="2:7" ht="11.25" outlineLevel="4" x14ac:dyDescent="0.2">
      <c r="B6642" s="14" t="s">
        <v>12521</v>
      </c>
      <c r="C6642" s="14" t="s">
        <v>12522</v>
      </c>
      <c r="D6642" s="14">
        <v>1</v>
      </c>
      <c r="E6642" s="15">
        <v>486.55</v>
      </c>
      <c r="F6642" s="16" t="s">
        <v>8</v>
      </c>
      <c r="G6642" s="38" t="str">
        <f>HYPERLINK("http://enext.ua/2624-337")</f>
        <v>http://enext.ua/2624-337</v>
      </c>
    </row>
    <row r="6643" spans="2:7" ht="11.25" outlineLevel="4" x14ac:dyDescent="0.2">
      <c r="B6643" s="14" t="s">
        <v>12523</v>
      </c>
      <c r="C6643" s="14" t="s">
        <v>12524</v>
      </c>
      <c r="D6643" s="14">
        <v>1</v>
      </c>
      <c r="E6643" s="15">
        <v>227.83</v>
      </c>
      <c r="F6643" s="16" t="s">
        <v>8</v>
      </c>
      <c r="G6643" s="38" t="str">
        <f>HYPERLINK("http://enext.ua/2643-326")</f>
        <v>http://enext.ua/2643-326</v>
      </c>
    </row>
    <row r="6644" spans="2:7" ht="11.25" outlineLevel="4" x14ac:dyDescent="0.2">
      <c r="B6644" s="14" t="s">
        <v>12525</v>
      </c>
      <c r="C6644" s="14" t="s">
        <v>12526</v>
      </c>
      <c r="D6644" s="14">
        <v>1</v>
      </c>
      <c r="E6644" s="15">
        <v>262.48</v>
      </c>
      <c r="F6644" s="16" t="s">
        <v>8</v>
      </c>
      <c r="G6644" s="38" t="str">
        <f>HYPERLINK("http://enext.ua/2622-326")</f>
        <v>http://enext.ua/2622-326</v>
      </c>
    </row>
    <row r="6645" spans="2:7" ht="11.25" outlineLevel="4" x14ac:dyDescent="0.2">
      <c r="B6645" s="14" t="s">
        <v>12527</v>
      </c>
      <c r="C6645" s="14" t="s">
        <v>12528</v>
      </c>
      <c r="D6645" s="14">
        <v>1</v>
      </c>
      <c r="E6645" s="15">
        <v>285.12</v>
      </c>
      <c r="F6645" s="16" t="s">
        <v>8</v>
      </c>
      <c r="G6645" s="38" t="str">
        <f>HYPERLINK("http://enext.ua/2642-326")</f>
        <v>http://enext.ua/2642-326</v>
      </c>
    </row>
    <row r="6646" spans="2:7" ht="11.25" outlineLevel="4" x14ac:dyDescent="0.2">
      <c r="B6646" s="14" t="s">
        <v>12529</v>
      </c>
      <c r="C6646" s="14" t="s">
        <v>12530</v>
      </c>
      <c r="D6646" s="14">
        <v>1</v>
      </c>
      <c r="E6646" s="15">
        <v>577.5</v>
      </c>
      <c r="F6646" s="16" t="s">
        <v>8</v>
      </c>
      <c r="G6646" s="38" t="str">
        <f>HYPERLINK("http://enext.ua/2626-337")</f>
        <v>http://enext.ua/2626-337</v>
      </c>
    </row>
    <row r="6647" spans="2:7" ht="11.25" outlineLevel="4" x14ac:dyDescent="0.2">
      <c r="B6647" s="14" t="s">
        <v>12531</v>
      </c>
      <c r="C6647" s="14" t="s">
        <v>12532</v>
      </c>
      <c r="D6647" s="14">
        <v>1</v>
      </c>
      <c r="E6647" s="15">
        <v>831.6</v>
      </c>
      <c r="F6647" s="16" t="s">
        <v>8</v>
      </c>
      <c r="G6647" s="38" t="str">
        <f>HYPERLINK("http://enext.ua/2646-337")</f>
        <v>http://enext.ua/2646-337</v>
      </c>
    </row>
    <row r="6648" spans="2:7" ht="11.25" outlineLevel="4" x14ac:dyDescent="0.2">
      <c r="B6648" s="14" t="s">
        <v>12533</v>
      </c>
      <c r="C6648" s="14" t="s">
        <v>12534</v>
      </c>
      <c r="D6648" s="14">
        <v>1</v>
      </c>
      <c r="E6648" s="17">
        <v>1190.81</v>
      </c>
      <c r="F6648" s="16" t="s">
        <v>8</v>
      </c>
      <c r="G6648" s="38" t="str">
        <f>HYPERLINK("http://enext.ua/2666-337")</f>
        <v>http://enext.ua/2666-337</v>
      </c>
    </row>
    <row r="6649" spans="2:7" ht="11.25" outlineLevel="4" x14ac:dyDescent="0.2">
      <c r="B6649" s="14" t="s">
        <v>12535</v>
      </c>
      <c r="C6649" s="14" t="s">
        <v>12536</v>
      </c>
      <c r="D6649" s="14">
        <v>1</v>
      </c>
      <c r="E6649" s="15">
        <v>203.28</v>
      </c>
      <c r="F6649" s="16" t="s">
        <v>8</v>
      </c>
      <c r="G6649" s="38" t="str">
        <f>HYPERLINK("http://enext.ua/2627-326")</f>
        <v>http://enext.ua/2627-326</v>
      </c>
    </row>
    <row r="6650" spans="2:7" ht="11.25" outlineLevel="4" x14ac:dyDescent="0.2">
      <c r="B6650" s="14" t="s">
        <v>12537</v>
      </c>
      <c r="C6650" s="14" t="s">
        <v>12538</v>
      </c>
      <c r="D6650" s="14">
        <v>1</v>
      </c>
      <c r="E6650" s="15">
        <v>688.71</v>
      </c>
      <c r="F6650" s="16" t="s">
        <v>8</v>
      </c>
      <c r="G6650" s="38" t="str">
        <f>HYPERLINK("http://enext.ua/2322-126")</f>
        <v>http://enext.ua/2322-126</v>
      </c>
    </row>
    <row r="6651" spans="2:7" ht="11.25" outlineLevel="4" x14ac:dyDescent="0.2">
      <c r="B6651" s="14" t="s">
        <v>12539</v>
      </c>
      <c r="C6651" s="14" t="s">
        <v>12540</v>
      </c>
      <c r="D6651" s="14">
        <v>1</v>
      </c>
      <c r="E6651" s="15">
        <v>605.22</v>
      </c>
      <c r="F6651" s="16" t="s">
        <v>8</v>
      </c>
      <c r="G6651" s="38" t="str">
        <f>HYPERLINK("http://enext.ua/2624-137")</f>
        <v>http://enext.ua/2624-137</v>
      </c>
    </row>
    <row r="6652" spans="2:7" ht="11.25" outlineLevel="4" x14ac:dyDescent="0.2">
      <c r="B6652" s="14" t="s">
        <v>12541</v>
      </c>
      <c r="C6652" s="14" t="s">
        <v>12542</v>
      </c>
      <c r="D6652" s="14">
        <v>1</v>
      </c>
      <c r="E6652" s="15">
        <v>215.71</v>
      </c>
      <c r="F6652" s="16" t="s">
        <v>8</v>
      </c>
      <c r="G6652" s="38" t="str">
        <f>HYPERLINK("http://enext.ua/445")</f>
        <v>http://enext.ua/445</v>
      </c>
    </row>
    <row r="6653" spans="2:7" ht="11.25" outlineLevel="4" x14ac:dyDescent="0.2">
      <c r="B6653" s="14" t="s">
        <v>12543</v>
      </c>
      <c r="C6653" s="14" t="s">
        <v>12544</v>
      </c>
      <c r="D6653" s="14">
        <v>1</v>
      </c>
      <c r="E6653" s="15">
        <v>621.67999999999995</v>
      </c>
      <c r="F6653" s="16" t="s">
        <v>8</v>
      </c>
      <c r="G6653" s="38" t="str">
        <f>HYPERLINK("http://enext.ua/2626-137")</f>
        <v>http://enext.ua/2626-137</v>
      </c>
    </row>
    <row r="6654" spans="2:7" ht="11.25" outlineLevel="4" x14ac:dyDescent="0.2">
      <c r="B6654" s="14" t="s">
        <v>12545</v>
      </c>
      <c r="C6654" s="14" t="s">
        <v>12546</v>
      </c>
      <c r="D6654" s="14">
        <v>1</v>
      </c>
      <c r="E6654" s="15">
        <v>285.58</v>
      </c>
      <c r="F6654" s="16" t="s">
        <v>8</v>
      </c>
      <c r="G6654" s="38" t="str">
        <f>HYPERLINK("http://enext.ua/446")</f>
        <v>http://enext.ua/446</v>
      </c>
    </row>
    <row r="6655" spans="2:7" ht="11.25" outlineLevel="4" x14ac:dyDescent="0.2">
      <c r="B6655" s="14" t="s">
        <v>12547</v>
      </c>
      <c r="C6655" s="14" t="s">
        <v>12548</v>
      </c>
      <c r="D6655" s="14">
        <v>1</v>
      </c>
      <c r="E6655" s="15">
        <v>731.41</v>
      </c>
      <c r="F6655" s="16" t="s">
        <v>8</v>
      </c>
      <c r="G6655" s="38" t="str">
        <f>HYPERLINK("http://enext.ua/2646-137")</f>
        <v>http://enext.ua/2646-137</v>
      </c>
    </row>
    <row r="6656" spans="2:7" ht="11.25" outlineLevel="4" x14ac:dyDescent="0.2">
      <c r="B6656" s="14" t="s">
        <v>12549</v>
      </c>
      <c r="C6656" s="14" t="s">
        <v>12550</v>
      </c>
      <c r="D6656" s="14">
        <v>1</v>
      </c>
      <c r="E6656" s="17">
        <v>1636.15</v>
      </c>
      <c r="F6656" s="16" t="s">
        <v>8</v>
      </c>
      <c r="G6656" s="38" t="str">
        <f>HYPERLINK("http://enext.ua/050")</f>
        <v>http://enext.ua/050</v>
      </c>
    </row>
    <row r="6657" spans="2:7" ht="11.25" outlineLevel="4" x14ac:dyDescent="0.2">
      <c r="B6657" s="14" t="s">
        <v>12551</v>
      </c>
      <c r="C6657" s="14" t="s">
        <v>12552</v>
      </c>
      <c r="D6657" s="14">
        <v>1</v>
      </c>
      <c r="E6657" s="15">
        <v>187.99</v>
      </c>
      <c r="F6657" s="16" t="s">
        <v>8</v>
      </c>
      <c r="G6657" s="38" t="str">
        <f>HYPERLINK("http://enext.ua/447")</f>
        <v>http://enext.ua/447</v>
      </c>
    </row>
    <row r="6658" spans="2:7" ht="11.25" outlineLevel="4" x14ac:dyDescent="0.2">
      <c r="B6658" s="14" t="s">
        <v>12553</v>
      </c>
      <c r="C6658" s="14" t="s">
        <v>12552</v>
      </c>
      <c r="D6658" s="14">
        <v>1</v>
      </c>
      <c r="E6658" s="15">
        <v>198.37</v>
      </c>
      <c r="F6658" s="16" t="s">
        <v>8</v>
      </c>
      <c r="G6658" s="38" t="str">
        <f>HYPERLINK("http://enext.ua/047")</f>
        <v>http://enext.ua/047</v>
      </c>
    </row>
    <row r="6659" spans="2:7" ht="11.25" outlineLevel="4" x14ac:dyDescent="0.2">
      <c r="B6659" s="14" t="s">
        <v>12554</v>
      </c>
      <c r="C6659" s="14" t="s">
        <v>12555</v>
      </c>
      <c r="D6659" s="14">
        <v>1</v>
      </c>
      <c r="E6659" s="15">
        <v>232.45</v>
      </c>
      <c r="F6659" s="16" t="s">
        <v>8</v>
      </c>
      <c r="G6659" s="38" t="str">
        <f>HYPERLINK("http://enext.ua/448")</f>
        <v>http://enext.ua/448</v>
      </c>
    </row>
    <row r="6660" spans="2:7" ht="11.25" outlineLevel="4" x14ac:dyDescent="0.2">
      <c r="B6660" s="14" t="s">
        <v>12556</v>
      </c>
      <c r="C6660" s="14" t="s">
        <v>12557</v>
      </c>
      <c r="D6660" s="14">
        <v>1</v>
      </c>
      <c r="E6660" s="15">
        <v>144.38</v>
      </c>
      <c r="F6660" s="16" t="s">
        <v>8</v>
      </c>
      <c r="G6660" s="38" t="str">
        <f>HYPERLINK("http://enext.ua/075")</f>
        <v>http://enext.ua/075</v>
      </c>
    </row>
    <row r="6661" spans="2:7" ht="11.25" outlineLevel="4" x14ac:dyDescent="0.2">
      <c r="B6661" s="14" t="s">
        <v>12558</v>
      </c>
      <c r="C6661" s="14" t="s">
        <v>12559</v>
      </c>
      <c r="D6661" s="14">
        <v>1</v>
      </c>
      <c r="E6661" s="15">
        <v>147.55000000000001</v>
      </c>
      <c r="F6661" s="16" t="s">
        <v>8</v>
      </c>
      <c r="G6661" s="38" t="str">
        <f>HYPERLINK("http://enext.ua/085")</f>
        <v>http://enext.ua/085</v>
      </c>
    </row>
    <row r="6662" spans="2:7" ht="11.25" outlineLevel="4" x14ac:dyDescent="0.2">
      <c r="B6662" s="14" t="s">
        <v>12560</v>
      </c>
      <c r="C6662" s="14" t="s">
        <v>12561</v>
      </c>
      <c r="D6662" s="14">
        <v>1</v>
      </c>
      <c r="E6662" s="15">
        <v>153.91</v>
      </c>
      <c r="F6662" s="16" t="s">
        <v>8</v>
      </c>
      <c r="G6662" s="38" t="str">
        <f>HYPERLINK("http://enext.ua/070")</f>
        <v>http://enext.ua/070</v>
      </c>
    </row>
    <row r="6663" spans="2:7" ht="11.25" outlineLevel="4" x14ac:dyDescent="0.2">
      <c r="B6663" s="14" t="s">
        <v>12562</v>
      </c>
      <c r="C6663" s="14" t="s">
        <v>12563</v>
      </c>
      <c r="D6663" s="14">
        <v>1</v>
      </c>
      <c r="E6663" s="15">
        <v>926.97</v>
      </c>
      <c r="F6663" s="16" t="s">
        <v>8</v>
      </c>
      <c r="G6663" s="38" t="str">
        <f>HYPERLINK("http://enext.ua/096")</f>
        <v>http://enext.ua/096</v>
      </c>
    </row>
    <row r="6664" spans="2:7" ht="11.25" outlineLevel="4" x14ac:dyDescent="0.2">
      <c r="B6664" s="14" t="s">
        <v>12564</v>
      </c>
      <c r="C6664" s="14" t="s">
        <v>12565</v>
      </c>
      <c r="D6664" s="14">
        <v>1</v>
      </c>
      <c r="E6664" s="15">
        <v>203.28</v>
      </c>
      <c r="F6664" s="16" t="s">
        <v>8</v>
      </c>
      <c r="G6664" s="38" t="str">
        <f>HYPERLINK("http://enext.ua/053")</f>
        <v>http://enext.ua/053</v>
      </c>
    </row>
    <row r="6665" spans="2:7" ht="11.25" outlineLevel="4" x14ac:dyDescent="0.2">
      <c r="B6665" s="14" t="s">
        <v>12566</v>
      </c>
      <c r="C6665" s="14" t="s">
        <v>12567</v>
      </c>
      <c r="D6665" s="14">
        <v>1</v>
      </c>
      <c r="E6665" s="15">
        <v>256.7</v>
      </c>
      <c r="F6665" s="16" t="s">
        <v>8</v>
      </c>
      <c r="G6665" s="38" t="str">
        <f>HYPERLINK("http://enext.ua/054")</f>
        <v>http://enext.ua/054</v>
      </c>
    </row>
    <row r="6666" spans="2:7" ht="11.25" outlineLevel="4" x14ac:dyDescent="0.2">
      <c r="B6666" s="14" t="s">
        <v>12568</v>
      </c>
      <c r="C6666" s="14" t="s">
        <v>12569</v>
      </c>
      <c r="D6666" s="14">
        <v>1</v>
      </c>
      <c r="E6666" s="15">
        <v>874.17</v>
      </c>
      <c r="F6666" s="16" t="s">
        <v>8</v>
      </c>
      <c r="G6666" s="38" t="str">
        <f>HYPERLINK("http://enext.ua/055")</f>
        <v>http://enext.ua/055</v>
      </c>
    </row>
    <row r="6667" spans="2:7" ht="11.25" outlineLevel="4" x14ac:dyDescent="0.2">
      <c r="B6667" s="14" t="s">
        <v>12570</v>
      </c>
      <c r="C6667" s="14" t="s">
        <v>12571</v>
      </c>
      <c r="D6667" s="14">
        <v>1</v>
      </c>
      <c r="E6667" s="15">
        <v>157.37</v>
      </c>
      <c r="F6667" s="16" t="s">
        <v>8</v>
      </c>
      <c r="G6667" s="38" t="str">
        <f>HYPERLINK("http://enext.ua/051")</f>
        <v>http://enext.ua/051</v>
      </c>
    </row>
    <row r="6668" spans="2:7" ht="11.25" outlineLevel="4" x14ac:dyDescent="0.2">
      <c r="B6668" s="14" t="s">
        <v>12572</v>
      </c>
      <c r="C6668" s="14" t="s">
        <v>12573</v>
      </c>
      <c r="D6668" s="14">
        <v>1</v>
      </c>
      <c r="E6668" s="15">
        <v>246.52</v>
      </c>
      <c r="F6668" s="16" t="s">
        <v>8</v>
      </c>
      <c r="G6668" s="38" t="str">
        <f>HYPERLINK("http://enext.ua/052")</f>
        <v>http://enext.ua/052</v>
      </c>
    </row>
    <row r="6669" spans="2:7" ht="12" outlineLevel="3" x14ac:dyDescent="0.2">
      <c r="B6669" s="10"/>
      <c r="C6669" s="36" t="s">
        <v>12574</v>
      </c>
      <c r="D6669" s="10"/>
      <c r="E6669" s="11"/>
      <c r="F6669" s="11"/>
      <c r="G6669" s="10"/>
    </row>
    <row r="6670" spans="2:7" ht="11.25" outlineLevel="4" x14ac:dyDescent="0.2">
      <c r="B6670" s="14" t="s">
        <v>12575</v>
      </c>
      <c r="C6670" s="14" t="s">
        <v>12576</v>
      </c>
      <c r="D6670" s="14">
        <v>1</v>
      </c>
      <c r="E6670" s="15">
        <v>290.77</v>
      </c>
      <c r="F6670" s="16" t="s">
        <v>8</v>
      </c>
      <c r="G6670" s="38" t="str">
        <f>HYPERLINK("http://enext.ua/135S")</f>
        <v>http://enext.ua/135S</v>
      </c>
    </row>
    <row r="6671" spans="2:7" ht="11.25" outlineLevel="4" x14ac:dyDescent="0.2">
      <c r="B6671" s="14" t="s">
        <v>12577</v>
      </c>
      <c r="C6671" s="14" t="s">
        <v>12578</v>
      </c>
      <c r="D6671" s="14">
        <v>1</v>
      </c>
      <c r="E6671" s="15">
        <v>349.1</v>
      </c>
      <c r="F6671" s="16" t="s">
        <v>8</v>
      </c>
      <c r="G6671" s="38" t="str">
        <f>HYPERLINK("http://enext.ua/137S")</f>
        <v>http://enext.ua/137S</v>
      </c>
    </row>
    <row r="6672" spans="2:7" ht="11.25" outlineLevel="4" x14ac:dyDescent="0.2">
      <c r="B6672" s="14" t="s">
        <v>12579</v>
      </c>
      <c r="C6672" s="14" t="s">
        <v>12580</v>
      </c>
      <c r="D6672" s="14">
        <v>1</v>
      </c>
      <c r="E6672" s="15">
        <v>257.86</v>
      </c>
      <c r="F6672" s="16" t="s">
        <v>8</v>
      </c>
      <c r="G6672" s="38" t="str">
        <f>HYPERLINK("http://enext.ua/134S")</f>
        <v>http://enext.ua/134S</v>
      </c>
    </row>
    <row r="6673" spans="2:7" ht="11.25" outlineLevel="4" x14ac:dyDescent="0.2">
      <c r="B6673" s="14" t="s">
        <v>12581</v>
      </c>
      <c r="C6673" s="14" t="s">
        <v>12582</v>
      </c>
      <c r="D6673" s="14">
        <v>1</v>
      </c>
      <c r="E6673" s="15">
        <v>328.02</v>
      </c>
      <c r="F6673" s="16" t="s">
        <v>8</v>
      </c>
      <c r="G6673" s="38" t="str">
        <f>HYPERLINK("http://enext.ua/136S")</f>
        <v>http://enext.ua/136S</v>
      </c>
    </row>
    <row r="6674" spans="2:7" ht="11.25" outlineLevel="4" x14ac:dyDescent="0.2">
      <c r="B6674" s="14" t="s">
        <v>12583</v>
      </c>
      <c r="C6674" s="14" t="s">
        <v>12584</v>
      </c>
      <c r="D6674" s="14">
        <v>1</v>
      </c>
      <c r="E6674" s="15">
        <v>237.36</v>
      </c>
      <c r="F6674" s="16" t="s">
        <v>8</v>
      </c>
      <c r="G6674" s="38" t="str">
        <f>HYPERLINK("http://enext.ua/125S")</f>
        <v>http://enext.ua/125S</v>
      </c>
    </row>
    <row r="6675" spans="2:7" ht="11.25" outlineLevel="4" x14ac:dyDescent="0.2">
      <c r="B6675" s="14" t="s">
        <v>12585</v>
      </c>
      <c r="C6675" s="14" t="s">
        <v>12586</v>
      </c>
      <c r="D6675" s="14">
        <v>1</v>
      </c>
      <c r="E6675" s="15">
        <v>294.52999999999997</v>
      </c>
      <c r="F6675" s="16" t="s">
        <v>8</v>
      </c>
      <c r="G6675" s="38" t="str">
        <f>HYPERLINK("http://enext.ua/127S")</f>
        <v>http://enext.ua/127S</v>
      </c>
    </row>
    <row r="6676" spans="2:7" ht="11.25" outlineLevel="4" x14ac:dyDescent="0.2">
      <c r="B6676" s="14" t="s">
        <v>12587</v>
      </c>
      <c r="C6676" s="14" t="s">
        <v>12588</v>
      </c>
      <c r="D6676" s="14">
        <v>1</v>
      </c>
      <c r="E6676" s="15">
        <v>214.26</v>
      </c>
      <c r="F6676" s="16" t="s">
        <v>8</v>
      </c>
      <c r="G6676" s="38" t="str">
        <f>HYPERLINK("http://enext.ua/124S")</f>
        <v>http://enext.ua/124S</v>
      </c>
    </row>
    <row r="6677" spans="2:7" ht="11.25" outlineLevel="4" x14ac:dyDescent="0.2">
      <c r="B6677" s="14" t="s">
        <v>12589</v>
      </c>
      <c r="C6677" s="14" t="s">
        <v>12590</v>
      </c>
      <c r="D6677" s="14">
        <v>1</v>
      </c>
      <c r="E6677" s="15">
        <v>252.95</v>
      </c>
      <c r="F6677" s="16" t="s">
        <v>8</v>
      </c>
      <c r="G6677" s="38" t="str">
        <f>HYPERLINK("http://enext.ua/126S")</f>
        <v>http://enext.ua/126S</v>
      </c>
    </row>
    <row r="6678" spans="2:7" ht="11.25" outlineLevel="4" x14ac:dyDescent="0.2">
      <c r="B6678" s="14" t="s">
        <v>12591</v>
      </c>
      <c r="C6678" s="14" t="s">
        <v>12592</v>
      </c>
      <c r="D6678" s="14">
        <v>1</v>
      </c>
      <c r="E6678" s="15">
        <v>226.38</v>
      </c>
      <c r="F6678" s="16" t="s">
        <v>8</v>
      </c>
      <c r="G6678" s="38" t="str">
        <f>HYPERLINK("http://enext.ua/145S")</f>
        <v>http://enext.ua/145S</v>
      </c>
    </row>
    <row r="6679" spans="2:7" ht="11.25" outlineLevel="4" x14ac:dyDescent="0.2">
      <c r="B6679" s="14" t="s">
        <v>12593</v>
      </c>
      <c r="C6679" s="14" t="s">
        <v>12594</v>
      </c>
      <c r="D6679" s="14">
        <v>1</v>
      </c>
      <c r="E6679" s="15">
        <v>277.77</v>
      </c>
      <c r="F6679" s="16" t="s">
        <v>8</v>
      </c>
      <c r="G6679" s="38" t="str">
        <f>HYPERLINK("http://enext.ua/147S")</f>
        <v>http://enext.ua/147S</v>
      </c>
    </row>
    <row r="6680" spans="2:7" ht="11.25" outlineLevel="4" x14ac:dyDescent="0.2">
      <c r="B6680" s="14" t="s">
        <v>12595</v>
      </c>
      <c r="C6680" s="14" t="s">
        <v>12596</v>
      </c>
      <c r="D6680" s="14">
        <v>1</v>
      </c>
      <c r="E6680" s="15">
        <v>197.51</v>
      </c>
      <c r="F6680" s="16" t="s">
        <v>8</v>
      </c>
      <c r="G6680" s="38" t="str">
        <f>HYPERLINK("http://enext.ua/144S")</f>
        <v>http://enext.ua/144S</v>
      </c>
    </row>
    <row r="6681" spans="2:7" ht="11.25" outlineLevel="4" x14ac:dyDescent="0.2">
      <c r="B6681" s="14" t="s">
        <v>12597</v>
      </c>
      <c r="C6681" s="14" t="s">
        <v>12598</v>
      </c>
      <c r="D6681" s="14">
        <v>1</v>
      </c>
      <c r="E6681" s="15">
        <v>237.36</v>
      </c>
      <c r="F6681" s="16" t="s">
        <v>8</v>
      </c>
      <c r="G6681" s="38" t="str">
        <f>HYPERLINK("http://enext.ua/146S")</f>
        <v>http://enext.ua/146S</v>
      </c>
    </row>
    <row r="6682" spans="2:7" ht="12" outlineLevel="3" x14ac:dyDescent="0.2">
      <c r="B6682" s="10"/>
      <c r="C6682" s="36" t="s">
        <v>12599</v>
      </c>
      <c r="D6682" s="10"/>
      <c r="E6682" s="11"/>
      <c r="F6682" s="11"/>
      <c r="G6682" s="10"/>
    </row>
    <row r="6683" spans="2:7" ht="11.25" outlineLevel="4" x14ac:dyDescent="0.2">
      <c r="B6683" s="14" t="s">
        <v>12600</v>
      </c>
      <c r="C6683" s="14" t="s">
        <v>12601</v>
      </c>
      <c r="D6683" s="14">
        <v>1</v>
      </c>
      <c r="E6683" s="15">
        <v>487.75</v>
      </c>
      <c r="F6683" s="16" t="s">
        <v>8</v>
      </c>
      <c r="G6683" s="38" t="str">
        <f>HYPERLINK("http://enext.ua/3126-326")</f>
        <v>http://enext.ua/3126-326</v>
      </c>
    </row>
    <row r="6684" spans="2:7" ht="11.25" outlineLevel="4" x14ac:dyDescent="0.2">
      <c r="B6684" s="14" t="s">
        <v>12602</v>
      </c>
      <c r="C6684" s="14" t="s">
        <v>12603</v>
      </c>
      <c r="D6684" s="14">
        <v>1</v>
      </c>
      <c r="E6684" s="15">
        <v>602.62</v>
      </c>
      <c r="F6684" s="16" t="s">
        <v>8</v>
      </c>
      <c r="G6684" s="38" t="str">
        <f>HYPERLINK("http://enext.ua/3143-326")</f>
        <v>http://enext.ua/3143-326</v>
      </c>
    </row>
    <row r="6685" spans="2:7" ht="12" outlineLevel="3" x14ac:dyDescent="0.2">
      <c r="B6685" s="10"/>
      <c r="C6685" s="36" t="s">
        <v>12604</v>
      </c>
      <c r="D6685" s="10"/>
      <c r="E6685" s="11"/>
      <c r="F6685" s="11"/>
      <c r="G6685" s="10"/>
    </row>
    <row r="6686" spans="2:7" ht="11.25" outlineLevel="4" x14ac:dyDescent="0.2">
      <c r="B6686" s="14" t="s">
        <v>12605</v>
      </c>
      <c r="C6686" s="14" t="s">
        <v>12606</v>
      </c>
      <c r="D6686" s="14">
        <v>1</v>
      </c>
      <c r="E6686" s="15">
        <v>798.61</v>
      </c>
      <c r="F6686" s="16" t="s">
        <v>8</v>
      </c>
      <c r="G6686" s="38" t="str">
        <f>HYPERLINK("http://enext.ua/2127-126")</f>
        <v>http://enext.ua/2127-126</v>
      </c>
    </row>
    <row r="6687" spans="2:7" ht="11.25" outlineLevel="4" x14ac:dyDescent="0.2">
      <c r="B6687" s="14" t="s">
        <v>12607</v>
      </c>
      <c r="C6687" s="14" t="s">
        <v>12608</v>
      </c>
      <c r="D6687" s="14">
        <v>1</v>
      </c>
      <c r="E6687" s="15">
        <v>859.89</v>
      </c>
      <c r="F6687" s="16" t="s">
        <v>8</v>
      </c>
      <c r="G6687" s="38" t="str">
        <f>HYPERLINK("http://enext.ua/2143-126")</f>
        <v>http://enext.ua/2143-126</v>
      </c>
    </row>
    <row r="6688" spans="2:7" ht="12" outlineLevel="3" x14ac:dyDescent="0.2">
      <c r="B6688" s="10"/>
      <c r="C6688" s="36" t="s">
        <v>12609</v>
      </c>
      <c r="D6688" s="10"/>
      <c r="E6688" s="11"/>
      <c r="F6688" s="11"/>
      <c r="G6688" s="10"/>
    </row>
    <row r="6689" spans="2:7" ht="11.25" outlineLevel="4" x14ac:dyDescent="0.2">
      <c r="B6689" s="14" t="s">
        <v>12610</v>
      </c>
      <c r="C6689" s="14" t="s">
        <v>12611</v>
      </c>
      <c r="D6689" s="14">
        <v>10</v>
      </c>
      <c r="E6689" s="15">
        <v>674.88</v>
      </c>
      <c r="F6689" s="16" t="s">
        <v>8</v>
      </c>
      <c r="G6689" s="38" t="str">
        <f>HYPERLINK("http://enext.ua/2499-300")</f>
        <v>http://enext.ua/2499-300</v>
      </c>
    </row>
    <row r="6690" spans="2:7" ht="11.25" outlineLevel="4" x14ac:dyDescent="0.2">
      <c r="B6690" s="14" t="s">
        <v>12612</v>
      </c>
      <c r="C6690" s="14" t="s">
        <v>12613</v>
      </c>
      <c r="D6690" s="14">
        <v>1</v>
      </c>
      <c r="E6690" s="15">
        <v>552.05999999999995</v>
      </c>
      <c r="F6690" s="16" t="s">
        <v>8</v>
      </c>
      <c r="G6690" s="38" t="str">
        <f>HYPERLINK("http://enext.ua/2499-200")</f>
        <v>http://enext.ua/2499-200</v>
      </c>
    </row>
    <row r="6691" spans="2:7" ht="11.25" outlineLevel="4" x14ac:dyDescent="0.2">
      <c r="B6691" s="14" t="s">
        <v>12614</v>
      </c>
      <c r="C6691" s="14" t="s">
        <v>12615</v>
      </c>
      <c r="D6691" s="14">
        <v>40</v>
      </c>
      <c r="E6691" s="15">
        <v>517.58000000000004</v>
      </c>
      <c r="F6691" s="16" t="s">
        <v>8</v>
      </c>
      <c r="G6691" s="38" t="str">
        <f>HYPERLINK("http://enext.ua/3499-300")</f>
        <v>http://enext.ua/3499-300</v>
      </c>
    </row>
    <row r="6692" spans="2:7" ht="11.25" outlineLevel="4" x14ac:dyDescent="0.2">
      <c r="B6692" s="14" t="s">
        <v>12616</v>
      </c>
      <c r="C6692" s="14" t="s">
        <v>12617</v>
      </c>
      <c r="D6692" s="14">
        <v>1</v>
      </c>
      <c r="E6692" s="15">
        <v>579.29999999999995</v>
      </c>
      <c r="F6692" s="16" t="s">
        <v>8</v>
      </c>
      <c r="G6692" s="38" t="str">
        <f>HYPERLINK("http://enext.ua/3499-200")</f>
        <v>http://enext.ua/3499-200</v>
      </c>
    </row>
    <row r="6693" spans="2:7" ht="12" outlineLevel="2" x14ac:dyDescent="0.2">
      <c r="B6693" s="8"/>
      <c r="C6693" s="35" t="s">
        <v>12618</v>
      </c>
      <c r="D6693" s="8"/>
      <c r="E6693" s="9"/>
      <c r="F6693" s="9"/>
      <c r="G6693" s="8"/>
    </row>
    <row r="6694" spans="2:7" ht="11.25" outlineLevel="3" x14ac:dyDescent="0.2">
      <c r="B6694" s="14" t="s">
        <v>12619</v>
      </c>
      <c r="C6694" s="14" t="s">
        <v>12620</v>
      </c>
      <c r="D6694" s="14">
        <v>50</v>
      </c>
      <c r="E6694" s="15">
        <v>42.9</v>
      </c>
      <c r="F6694" s="16" t="s">
        <v>8</v>
      </c>
      <c r="G6694" s="38" t="str">
        <f>HYPERLINK("http://enext.ua/s9100023")</f>
        <v>http://enext.ua/s9100023</v>
      </c>
    </row>
    <row r="6695" spans="2:7" ht="11.25" outlineLevel="3" x14ac:dyDescent="0.2">
      <c r="B6695" s="14" t="s">
        <v>12621</v>
      </c>
      <c r="C6695" s="14" t="s">
        <v>12622</v>
      </c>
      <c r="D6695" s="14">
        <v>50</v>
      </c>
      <c r="E6695" s="15">
        <v>50.6</v>
      </c>
      <c r="F6695" s="16" t="s">
        <v>8</v>
      </c>
      <c r="G6695" s="38" t="str">
        <f>HYPERLINK("http://enext.ua/s9100030")</f>
        <v>http://enext.ua/s9100030</v>
      </c>
    </row>
    <row r="6696" spans="2:7" ht="11.25" outlineLevel="3" x14ac:dyDescent="0.2">
      <c r="B6696" s="14" t="s">
        <v>12623</v>
      </c>
      <c r="C6696" s="14" t="s">
        <v>12624</v>
      </c>
      <c r="D6696" s="14">
        <v>30</v>
      </c>
      <c r="E6696" s="15">
        <v>71.33</v>
      </c>
      <c r="F6696" s="16" t="s">
        <v>8</v>
      </c>
      <c r="G6696" s="38" t="str">
        <f>HYPERLINK("http://enext.ua/s9100028")</f>
        <v>http://enext.ua/s9100028</v>
      </c>
    </row>
    <row r="6697" spans="2:7" ht="11.25" outlineLevel="3" x14ac:dyDescent="0.2">
      <c r="B6697" s="14" t="s">
        <v>12625</v>
      </c>
      <c r="C6697" s="14" t="s">
        <v>12626</v>
      </c>
      <c r="D6697" s="14">
        <v>30</v>
      </c>
      <c r="E6697" s="15">
        <v>127.86</v>
      </c>
      <c r="F6697" s="16" t="s">
        <v>8</v>
      </c>
      <c r="G6697" s="38" t="str">
        <f>HYPERLINK("http://enext.ua/s9100035")</f>
        <v>http://enext.ua/s9100035</v>
      </c>
    </row>
    <row r="6698" spans="2:7" ht="11.25" outlineLevel="3" x14ac:dyDescent="0.2">
      <c r="B6698" s="14" t="s">
        <v>12627</v>
      </c>
      <c r="C6698" s="14" t="s">
        <v>12628</v>
      </c>
      <c r="D6698" s="14">
        <v>20</v>
      </c>
      <c r="E6698" s="15">
        <v>192.43</v>
      </c>
      <c r="F6698" s="16" t="s">
        <v>8</v>
      </c>
      <c r="G6698" s="38" t="str">
        <f>HYPERLINK("http://enext.ua/s9100032")</f>
        <v>http://enext.ua/s9100032</v>
      </c>
    </row>
    <row r="6699" spans="2:7" ht="11.25" outlineLevel="3" x14ac:dyDescent="0.2">
      <c r="B6699" s="14" t="s">
        <v>12629</v>
      </c>
      <c r="C6699" s="14" t="s">
        <v>12630</v>
      </c>
      <c r="D6699" s="14">
        <v>24</v>
      </c>
      <c r="E6699" s="15">
        <v>99.03</v>
      </c>
      <c r="F6699" s="16" t="s">
        <v>8</v>
      </c>
      <c r="G6699" s="38" t="str">
        <f>HYPERLINK("http://enext.ua/s9100025")</f>
        <v>http://enext.ua/s9100025</v>
      </c>
    </row>
    <row r="6700" spans="2:7" ht="11.25" outlineLevel="3" x14ac:dyDescent="0.2">
      <c r="B6700" s="14" t="s">
        <v>12631</v>
      </c>
      <c r="C6700" s="14" t="s">
        <v>12632</v>
      </c>
      <c r="D6700" s="14">
        <v>30</v>
      </c>
      <c r="E6700" s="15">
        <v>59.2</v>
      </c>
      <c r="F6700" s="16" t="s">
        <v>8</v>
      </c>
      <c r="G6700" s="38" t="str">
        <f>HYPERLINK("http://enext.ua/s9100024")</f>
        <v>http://enext.ua/s9100024</v>
      </c>
    </row>
    <row r="6701" spans="2:7" ht="11.25" outlineLevel="3" x14ac:dyDescent="0.2">
      <c r="B6701" s="14" t="s">
        <v>12633</v>
      </c>
      <c r="C6701" s="14" t="s">
        <v>12634</v>
      </c>
      <c r="D6701" s="14">
        <v>12</v>
      </c>
      <c r="E6701" s="15">
        <v>138.6</v>
      </c>
      <c r="F6701" s="16" t="s">
        <v>8</v>
      </c>
      <c r="G6701" s="38" t="str">
        <f>HYPERLINK("http://enext.ua/s9100026")</f>
        <v>http://enext.ua/s9100026</v>
      </c>
    </row>
    <row r="6702" spans="2:7" ht="22.5" outlineLevel="3" x14ac:dyDescent="0.2">
      <c r="B6702" s="14" t="s">
        <v>12635</v>
      </c>
      <c r="C6702" s="14" t="s">
        <v>12636</v>
      </c>
      <c r="D6702" s="14">
        <v>12</v>
      </c>
      <c r="E6702" s="15">
        <v>158.13</v>
      </c>
      <c r="F6702" s="16" t="s">
        <v>8</v>
      </c>
      <c r="G6702" s="38" t="str">
        <f>HYPERLINK("http://enext.ua/s9100038")</f>
        <v>http://enext.ua/s9100038</v>
      </c>
    </row>
    <row r="6703" spans="2:7" ht="11.25" outlineLevel="3" x14ac:dyDescent="0.2">
      <c r="B6703" s="14" t="s">
        <v>12637</v>
      </c>
      <c r="C6703" s="14" t="s">
        <v>12638</v>
      </c>
      <c r="D6703" s="14">
        <v>12</v>
      </c>
      <c r="E6703" s="15">
        <v>180.13</v>
      </c>
      <c r="F6703" s="16" t="s">
        <v>8</v>
      </c>
      <c r="G6703" s="38" t="str">
        <f>HYPERLINK("http://enext.ua/s9100027")</f>
        <v>http://enext.ua/s9100027</v>
      </c>
    </row>
    <row r="6704" spans="2:7" ht="22.5" outlineLevel="3" x14ac:dyDescent="0.2">
      <c r="B6704" s="14" t="s">
        <v>12639</v>
      </c>
      <c r="C6704" s="14" t="s">
        <v>12640</v>
      </c>
      <c r="D6704" s="14">
        <v>1</v>
      </c>
      <c r="E6704" s="15">
        <v>217.45</v>
      </c>
      <c r="F6704" s="16" t="s">
        <v>8</v>
      </c>
      <c r="G6704" s="38" t="str">
        <f>HYPERLINK("http://enext.ua/s9100039")</f>
        <v>http://enext.ua/s9100039</v>
      </c>
    </row>
    <row r="6705" spans="2:7" ht="22.5" outlineLevel="3" x14ac:dyDescent="0.2">
      <c r="B6705" s="14" t="s">
        <v>12641</v>
      </c>
      <c r="C6705" s="14" t="s">
        <v>12642</v>
      </c>
      <c r="D6705" s="14">
        <v>25</v>
      </c>
      <c r="E6705" s="15">
        <v>117.1</v>
      </c>
      <c r="F6705" s="16" t="s">
        <v>8</v>
      </c>
      <c r="G6705" s="38" t="str">
        <f>HYPERLINK("http://enext.ua/s9100029")</f>
        <v>http://enext.ua/s9100029</v>
      </c>
    </row>
    <row r="6706" spans="2:7" ht="22.5" outlineLevel="3" x14ac:dyDescent="0.2">
      <c r="B6706" s="14" t="s">
        <v>12643</v>
      </c>
      <c r="C6706" s="14" t="s">
        <v>12644</v>
      </c>
      <c r="D6706" s="14">
        <v>25</v>
      </c>
      <c r="E6706" s="15">
        <v>133.1</v>
      </c>
      <c r="F6706" s="16" t="s">
        <v>8</v>
      </c>
      <c r="G6706" s="38" t="str">
        <f>HYPERLINK("http://enext.ua/s9100036")</f>
        <v>http://enext.ua/s9100036</v>
      </c>
    </row>
    <row r="6707" spans="2:7" ht="22.5" outlineLevel="3" x14ac:dyDescent="0.2">
      <c r="B6707" s="14" t="s">
        <v>12645</v>
      </c>
      <c r="C6707" s="14" t="s">
        <v>12646</v>
      </c>
      <c r="D6707" s="14">
        <v>20</v>
      </c>
      <c r="E6707" s="15">
        <v>157.58000000000001</v>
      </c>
      <c r="F6707" s="16" t="s">
        <v>8</v>
      </c>
      <c r="G6707" s="38" t="str">
        <f>HYPERLINK("http://enext.ua/s9100037")</f>
        <v>http://enext.ua/s9100037</v>
      </c>
    </row>
    <row r="6708" spans="2:7" ht="22.5" outlineLevel="3" x14ac:dyDescent="0.2">
      <c r="B6708" s="14" t="s">
        <v>12647</v>
      </c>
      <c r="C6708" s="14" t="s">
        <v>12648</v>
      </c>
      <c r="D6708" s="14">
        <v>1</v>
      </c>
      <c r="E6708" s="15">
        <v>226.5</v>
      </c>
      <c r="F6708" s="16" t="s">
        <v>8</v>
      </c>
      <c r="G6708" s="38" t="str">
        <f>HYPERLINK("http://enext.ua/s9100033")</f>
        <v>http://enext.ua/s9100033</v>
      </c>
    </row>
    <row r="6709" spans="2:7" ht="22.5" outlineLevel="3" x14ac:dyDescent="0.2">
      <c r="B6709" s="14" t="s">
        <v>12649</v>
      </c>
      <c r="C6709" s="14" t="s">
        <v>12650</v>
      </c>
      <c r="D6709" s="14">
        <v>1</v>
      </c>
      <c r="E6709" s="15">
        <v>231.58</v>
      </c>
      <c r="F6709" s="16" t="s">
        <v>8</v>
      </c>
      <c r="G6709" s="38" t="str">
        <f>HYPERLINK("http://enext.ua/s9100034")</f>
        <v>http://enext.ua/s9100034</v>
      </c>
    </row>
    <row r="6710" spans="2:7" ht="22.5" outlineLevel="3" x14ac:dyDescent="0.2">
      <c r="B6710" s="14" t="s">
        <v>12651</v>
      </c>
      <c r="C6710" s="14" t="s">
        <v>12652</v>
      </c>
      <c r="D6710" s="14">
        <v>24</v>
      </c>
      <c r="E6710" s="15">
        <v>131.44999999999999</v>
      </c>
      <c r="F6710" s="16" t="s">
        <v>8</v>
      </c>
      <c r="G6710" s="38" t="str">
        <f>HYPERLINK("http://enext.ua/s9100031")</f>
        <v>http://enext.ua/s9100031</v>
      </c>
    </row>
    <row r="6711" spans="2:7" ht="12" outlineLevel="2" x14ac:dyDescent="0.2">
      <c r="B6711" s="8"/>
      <c r="C6711" s="35" t="s">
        <v>12653</v>
      </c>
      <c r="D6711" s="8"/>
      <c r="E6711" s="9"/>
      <c r="F6711" s="9"/>
      <c r="G6711" s="8"/>
    </row>
    <row r="6712" spans="2:7" ht="22.5" outlineLevel="3" x14ac:dyDescent="0.2">
      <c r="B6712" s="14" t="s">
        <v>12654</v>
      </c>
      <c r="C6712" s="14" t="s">
        <v>12655</v>
      </c>
      <c r="D6712" s="14">
        <v>1</v>
      </c>
      <c r="E6712" s="17">
        <v>3281.94</v>
      </c>
      <c r="F6712" s="16" t="s">
        <v>8</v>
      </c>
      <c r="G6712" s="38" t="str">
        <f>HYPERLINK("http://enext.ua/6634-000")</f>
        <v>http://enext.ua/6634-000</v>
      </c>
    </row>
    <row r="6713" spans="2:7" ht="11.25" outlineLevel="3" x14ac:dyDescent="0.2">
      <c r="B6713" s="14" t="s">
        <v>12656</v>
      </c>
      <c r="C6713" s="14" t="s">
        <v>12657</v>
      </c>
      <c r="D6713" s="14">
        <v>1</v>
      </c>
      <c r="E6713" s="17">
        <v>3457.21</v>
      </c>
      <c r="F6713" s="16" t="s">
        <v>8</v>
      </c>
      <c r="G6713" s="38" t="str">
        <f>HYPERLINK("http://enext.ua/6635-000")</f>
        <v>http://enext.ua/6635-000</v>
      </c>
    </row>
    <row r="6714" spans="2:7" ht="11.25" outlineLevel="3" x14ac:dyDescent="0.2">
      <c r="B6714" s="14" t="s">
        <v>12658</v>
      </c>
      <c r="C6714" s="14" t="s">
        <v>12659</v>
      </c>
      <c r="D6714" s="14">
        <v>1</v>
      </c>
      <c r="E6714" s="17">
        <v>3457.21</v>
      </c>
      <c r="F6714" s="16" t="s">
        <v>8</v>
      </c>
      <c r="G6714" s="38" t="str">
        <f>HYPERLINK("http://enext.ua/6636-000")</f>
        <v>http://enext.ua/6636-000</v>
      </c>
    </row>
    <row r="6715" spans="2:7" ht="11.25" outlineLevel="3" x14ac:dyDescent="0.2">
      <c r="B6715" s="14" t="s">
        <v>12660</v>
      </c>
      <c r="C6715" s="14" t="s">
        <v>12661</v>
      </c>
      <c r="D6715" s="14">
        <v>1</v>
      </c>
      <c r="E6715" s="17">
        <v>3539.25</v>
      </c>
      <c r="F6715" s="16" t="s">
        <v>8</v>
      </c>
      <c r="G6715" s="38" t="str">
        <f>HYPERLINK("http://enext.ua/332")</f>
        <v>http://enext.ua/332</v>
      </c>
    </row>
    <row r="6716" spans="2:7" ht="22.5" outlineLevel="3" x14ac:dyDescent="0.2">
      <c r="B6716" s="14" t="s">
        <v>12662</v>
      </c>
      <c r="C6716" s="14" t="s">
        <v>12663</v>
      </c>
      <c r="D6716" s="14">
        <v>1</v>
      </c>
      <c r="E6716" s="17">
        <v>3921.84</v>
      </c>
      <c r="F6716" s="16" t="s">
        <v>8</v>
      </c>
      <c r="G6716" s="38" t="str">
        <f>HYPERLINK("http://enext.ua/331")</f>
        <v>http://enext.ua/331</v>
      </c>
    </row>
    <row r="6717" spans="2:7" ht="11.25" outlineLevel="3" x14ac:dyDescent="0.2">
      <c r="B6717" s="14" t="s">
        <v>12664</v>
      </c>
      <c r="C6717" s="14" t="s">
        <v>12665</v>
      </c>
      <c r="D6717" s="14">
        <v>1</v>
      </c>
      <c r="E6717" s="17">
        <v>3210.33</v>
      </c>
      <c r="F6717" s="16" t="s">
        <v>8</v>
      </c>
      <c r="G6717" s="38" t="str">
        <f>HYPERLINK("http://enext.ua/330")</f>
        <v>http://enext.ua/330</v>
      </c>
    </row>
    <row r="6718" spans="2:7" ht="11.25" outlineLevel="3" x14ac:dyDescent="0.2">
      <c r="B6718" s="14" t="s">
        <v>12666</v>
      </c>
      <c r="C6718" s="14" t="s">
        <v>12667</v>
      </c>
      <c r="D6718" s="14">
        <v>1</v>
      </c>
      <c r="E6718" s="17">
        <v>2114.2199999999998</v>
      </c>
      <c r="F6718" s="16" t="s">
        <v>8</v>
      </c>
      <c r="G6718" s="38" t="str">
        <f>HYPERLINK("http://enext.ua/368")</f>
        <v>http://enext.ua/368</v>
      </c>
    </row>
    <row r="6719" spans="2:7" ht="11.25" outlineLevel="3" x14ac:dyDescent="0.2">
      <c r="B6719" s="14" t="s">
        <v>12668</v>
      </c>
      <c r="C6719" s="14" t="s">
        <v>12669</v>
      </c>
      <c r="D6719" s="14">
        <v>1</v>
      </c>
      <c r="E6719" s="17">
        <v>2002.48</v>
      </c>
      <c r="F6719" s="16" t="s">
        <v>8</v>
      </c>
      <c r="G6719" s="38" t="str">
        <f>HYPERLINK("http://enext.ua/361")</f>
        <v>http://enext.ua/361</v>
      </c>
    </row>
    <row r="6720" spans="2:7" ht="11.25" outlineLevel="3" x14ac:dyDescent="0.2">
      <c r="B6720" s="14" t="s">
        <v>12670</v>
      </c>
      <c r="C6720" s="14" t="s">
        <v>12671</v>
      </c>
      <c r="D6720" s="14">
        <v>1</v>
      </c>
      <c r="E6720" s="17">
        <v>2060.52</v>
      </c>
      <c r="F6720" s="16" t="s">
        <v>8</v>
      </c>
      <c r="G6720" s="38" t="str">
        <f>HYPERLINK("http://enext.ua/360")</f>
        <v>http://enext.ua/360</v>
      </c>
    </row>
    <row r="6721" spans="2:7" ht="11.25" outlineLevel="3" x14ac:dyDescent="0.2">
      <c r="B6721" s="14" t="s">
        <v>12672</v>
      </c>
      <c r="C6721" s="14" t="s">
        <v>12673</v>
      </c>
      <c r="D6721" s="14">
        <v>1</v>
      </c>
      <c r="E6721" s="17">
        <v>2211.0100000000002</v>
      </c>
      <c r="F6721" s="16" t="s">
        <v>8</v>
      </c>
      <c r="G6721" s="38" t="str">
        <f>HYPERLINK("http://enext.ua/364")</f>
        <v>http://enext.ua/364</v>
      </c>
    </row>
    <row r="6722" spans="2:7" ht="11.25" outlineLevel="3" x14ac:dyDescent="0.2">
      <c r="B6722" s="14" t="s">
        <v>12674</v>
      </c>
      <c r="C6722" s="14" t="s">
        <v>12675</v>
      </c>
      <c r="D6722" s="14">
        <v>1</v>
      </c>
      <c r="E6722" s="17">
        <v>2337.0500000000002</v>
      </c>
      <c r="F6722" s="16" t="s">
        <v>8</v>
      </c>
      <c r="G6722" s="38" t="str">
        <f>HYPERLINK("http://enext.ua/365")</f>
        <v>http://enext.ua/365</v>
      </c>
    </row>
    <row r="6723" spans="2:7" ht="11.25" outlineLevel="3" x14ac:dyDescent="0.2">
      <c r="B6723" s="14" t="s">
        <v>12676</v>
      </c>
      <c r="C6723" s="14" t="s">
        <v>12677</v>
      </c>
      <c r="D6723" s="14">
        <v>1</v>
      </c>
      <c r="E6723" s="17">
        <v>2650.14</v>
      </c>
      <c r="F6723" s="16" t="s">
        <v>8</v>
      </c>
      <c r="G6723" s="38" t="str">
        <f>HYPERLINK("http://enext.ua/322")</f>
        <v>http://enext.ua/322</v>
      </c>
    </row>
    <row r="6724" spans="2:7" ht="22.5" outlineLevel="3" x14ac:dyDescent="0.2">
      <c r="B6724" s="14" t="s">
        <v>12678</v>
      </c>
      <c r="C6724" s="14" t="s">
        <v>12679</v>
      </c>
      <c r="D6724" s="14">
        <v>1</v>
      </c>
      <c r="E6724" s="17">
        <v>2650.14</v>
      </c>
      <c r="F6724" s="16" t="s">
        <v>8</v>
      </c>
      <c r="G6724" s="38" t="str">
        <f>HYPERLINK("http://enext.ua/321")</f>
        <v>http://enext.ua/321</v>
      </c>
    </row>
    <row r="6725" spans="2:7" ht="11.25" outlineLevel="3" x14ac:dyDescent="0.2">
      <c r="B6725" s="14" t="s">
        <v>12680</v>
      </c>
      <c r="C6725" s="14" t="s">
        <v>12681</v>
      </c>
      <c r="D6725" s="14">
        <v>1</v>
      </c>
      <c r="E6725" s="17">
        <v>3028.73</v>
      </c>
      <c r="F6725" s="16" t="s">
        <v>8</v>
      </c>
      <c r="G6725" s="38" t="str">
        <f>HYPERLINK("http://enext.ua/320")</f>
        <v>http://enext.ua/320</v>
      </c>
    </row>
    <row r="6726" spans="2:7" ht="11.25" outlineLevel="3" x14ac:dyDescent="0.2">
      <c r="B6726" s="14" t="s">
        <v>12682</v>
      </c>
      <c r="C6726" s="14" t="s">
        <v>12683</v>
      </c>
      <c r="D6726" s="14">
        <v>1</v>
      </c>
      <c r="E6726" s="17">
        <v>1705.77</v>
      </c>
      <c r="F6726" s="16" t="s">
        <v>8</v>
      </c>
      <c r="G6726" s="38" t="str">
        <f>HYPERLINK("http://enext.ua/6263-130")</f>
        <v>http://enext.ua/6263-130</v>
      </c>
    </row>
    <row r="6727" spans="2:7" ht="11.25" outlineLevel="3" x14ac:dyDescent="0.2">
      <c r="B6727" s="14" t="s">
        <v>12684</v>
      </c>
      <c r="C6727" s="14" t="s">
        <v>12685</v>
      </c>
      <c r="D6727" s="14">
        <v>1</v>
      </c>
      <c r="E6727" s="15">
        <v>803.88</v>
      </c>
      <c r="F6727" s="16" t="s">
        <v>8</v>
      </c>
      <c r="G6727" s="38" t="str">
        <f>HYPERLINK("http://enext.ua/175")</f>
        <v>http://enext.ua/175</v>
      </c>
    </row>
    <row r="6728" spans="2:7" ht="11.25" outlineLevel="3" x14ac:dyDescent="0.2">
      <c r="B6728" s="14" t="s">
        <v>12686</v>
      </c>
      <c r="C6728" s="14" t="s">
        <v>12687</v>
      </c>
      <c r="D6728" s="14">
        <v>1</v>
      </c>
      <c r="E6728" s="17">
        <v>2374.36</v>
      </c>
      <c r="F6728" s="16" t="s">
        <v>8</v>
      </c>
      <c r="G6728" s="38" t="str">
        <f>HYPERLINK("http://enext.ua/391")</f>
        <v>http://enext.ua/391</v>
      </c>
    </row>
    <row r="6729" spans="2:7" ht="11.25" outlineLevel="3" x14ac:dyDescent="0.2">
      <c r="B6729" s="14" t="s">
        <v>12688</v>
      </c>
      <c r="C6729" s="14" t="s">
        <v>12689</v>
      </c>
      <c r="D6729" s="14">
        <v>1</v>
      </c>
      <c r="E6729" s="17">
        <v>2305.7199999999998</v>
      </c>
      <c r="F6729" s="16" t="s">
        <v>8</v>
      </c>
      <c r="G6729" s="38" t="str">
        <f>HYPERLINK("http://enext.ua/395")</f>
        <v>http://enext.ua/395</v>
      </c>
    </row>
    <row r="6730" spans="2:7" ht="11.25" outlineLevel="3" x14ac:dyDescent="0.2">
      <c r="B6730" s="14" t="s">
        <v>12690</v>
      </c>
      <c r="C6730" s="14" t="s">
        <v>12691</v>
      </c>
      <c r="D6730" s="14">
        <v>1</v>
      </c>
      <c r="E6730" s="17">
        <v>1579.37</v>
      </c>
      <c r="F6730" s="16" t="s">
        <v>8</v>
      </c>
      <c r="G6730" s="38" t="str">
        <f>HYPERLINK("http://enext.ua/6163-130")</f>
        <v>http://enext.ua/6163-130</v>
      </c>
    </row>
    <row r="6731" spans="2:7" ht="11.25" outlineLevel="3" x14ac:dyDescent="0.2">
      <c r="B6731" s="14" t="s">
        <v>12692</v>
      </c>
      <c r="C6731" s="14" t="s">
        <v>12693</v>
      </c>
      <c r="D6731" s="14">
        <v>1</v>
      </c>
      <c r="E6731" s="17">
        <v>3698.97</v>
      </c>
      <c r="F6731" s="16" t="s">
        <v>8</v>
      </c>
      <c r="G6731" s="38" t="str">
        <f>HYPERLINK("http://enext.ua/340")</f>
        <v>http://enext.ua/340</v>
      </c>
    </row>
    <row r="6732" spans="2:7" ht="11.25" outlineLevel="3" x14ac:dyDescent="0.2">
      <c r="B6732" s="14" t="s">
        <v>12694</v>
      </c>
      <c r="C6732" s="14" t="s">
        <v>12695</v>
      </c>
      <c r="D6732" s="14">
        <v>1</v>
      </c>
      <c r="E6732" s="17">
        <v>3396.7</v>
      </c>
      <c r="F6732" s="16" t="s">
        <v>8</v>
      </c>
      <c r="G6732" s="38" t="str">
        <f>HYPERLINK("http://enext.ua/342")</f>
        <v>http://enext.ua/342</v>
      </c>
    </row>
    <row r="6733" spans="2:7" ht="11.25" outlineLevel="3" x14ac:dyDescent="0.2">
      <c r="B6733" s="14" t="s">
        <v>12696</v>
      </c>
      <c r="C6733" s="14" t="s">
        <v>12697</v>
      </c>
      <c r="D6733" s="14">
        <v>1</v>
      </c>
      <c r="E6733" s="17">
        <v>4028.97</v>
      </c>
      <c r="F6733" s="16" t="s">
        <v>8</v>
      </c>
      <c r="G6733" s="38" t="str">
        <f>HYPERLINK("http://enext.ua/341")</f>
        <v>http://enext.ua/341</v>
      </c>
    </row>
    <row r="6734" spans="2:7" ht="11.25" outlineLevel="3" x14ac:dyDescent="0.2">
      <c r="B6734" s="14" t="s">
        <v>12698</v>
      </c>
      <c r="C6734" s="14" t="s">
        <v>12699</v>
      </c>
      <c r="D6734" s="14">
        <v>1</v>
      </c>
      <c r="E6734" s="17">
        <v>1831.18</v>
      </c>
      <c r="F6734" s="16" t="s">
        <v>8</v>
      </c>
      <c r="G6734" s="38" t="str">
        <f>HYPERLINK("http://enext.ua/6265-130")</f>
        <v>http://enext.ua/6265-130</v>
      </c>
    </row>
    <row r="6735" spans="2:7" ht="11.25" outlineLevel="3" x14ac:dyDescent="0.2">
      <c r="B6735" s="14" t="s">
        <v>12700</v>
      </c>
      <c r="C6735" s="14" t="s">
        <v>12701</v>
      </c>
      <c r="D6735" s="14">
        <v>1</v>
      </c>
      <c r="E6735" s="17">
        <v>2727.12</v>
      </c>
      <c r="F6735" s="16" t="s">
        <v>8</v>
      </c>
      <c r="G6735" s="38" t="str">
        <f>HYPERLINK("http://enext.ua/390")</f>
        <v>http://enext.ua/390</v>
      </c>
    </row>
    <row r="6736" spans="2:7" ht="11.25" outlineLevel="3" x14ac:dyDescent="0.2">
      <c r="B6736" s="14" t="s">
        <v>12702</v>
      </c>
      <c r="C6736" s="14" t="s">
        <v>12703</v>
      </c>
      <c r="D6736" s="14">
        <v>1</v>
      </c>
      <c r="E6736" s="17">
        <v>2281.96</v>
      </c>
      <c r="F6736" s="16" t="s">
        <v>8</v>
      </c>
      <c r="G6736" s="38" t="str">
        <f>HYPERLINK("http://enext.ua/394")</f>
        <v>http://enext.ua/394</v>
      </c>
    </row>
    <row r="6737" spans="2:7" ht="11.25" outlineLevel="3" x14ac:dyDescent="0.2">
      <c r="B6737" s="14" t="s">
        <v>12704</v>
      </c>
      <c r="C6737" s="14" t="s">
        <v>12705</v>
      </c>
      <c r="D6737" s="14">
        <v>1</v>
      </c>
      <c r="E6737" s="17">
        <v>1677.05</v>
      </c>
      <c r="F6737" s="16" t="s">
        <v>8</v>
      </c>
      <c r="G6737" s="38" t="str">
        <f>HYPERLINK("http://enext.ua/6165-130")</f>
        <v>http://enext.ua/6165-130</v>
      </c>
    </row>
    <row r="6738" spans="2:7" ht="11.25" outlineLevel="3" x14ac:dyDescent="0.2">
      <c r="B6738" s="14" t="s">
        <v>12706</v>
      </c>
      <c r="C6738" s="14" t="s">
        <v>12707</v>
      </c>
      <c r="D6738" s="14">
        <v>1</v>
      </c>
      <c r="E6738" s="17">
        <v>2718.18</v>
      </c>
      <c r="F6738" s="16" t="s">
        <v>8</v>
      </c>
      <c r="G6738" s="38" t="str">
        <f>HYPERLINK("http://enext.ua/370")</f>
        <v>http://enext.ua/370</v>
      </c>
    </row>
    <row r="6739" spans="2:7" ht="11.25" outlineLevel="3" x14ac:dyDescent="0.2">
      <c r="B6739" s="14" t="s">
        <v>12708</v>
      </c>
      <c r="C6739" s="14" t="s">
        <v>12709</v>
      </c>
      <c r="D6739" s="14">
        <v>1</v>
      </c>
      <c r="E6739" s="17">
        <v>2777.93</v>
      </c>
      <c r="F6739" s="16" t="s">
        <v>8</v>
      </c>
      <c r="G6739" s="38" t="str">
        <f>HYPERLINK("http://enext.ua/374")</f>
        <v>http://enext.ua/374</v>
      </c>
    </row>
    <row r="6740" spans="2:7" ht="11.25" outlineLevel="3" x14ac:dyDescent="0.2">
      <c r="B6740" s="14" t="s">
        <v>12710</v>
      </c>
      <c r="C6740" s="14" t="s">
        <v>12711</v>
      </c>
      <c r="D6740" s="14">
        <v>1</v>
      </c>
      <c r="E6740" s="17">
        <v>2702.38</v>
      </c>
      <c r="F6740" s="16" t="s">
        <v>8</v>
      </c>
      <c r="G6740" s="38" t="str">
        <f>HYPERLINK("http://enext.ua/371")</f>
        <v>http://enext.ua/371</v>
      </c>
    </row>
    <row r="6741" spans="2:7" ht="11.25" outlineLevel="3" x14ac:dyDescent="0.2">
      <c r="B6741" s="14" t="s">
        <v>12712</v>
      </c>
      <c r="C6741" s="14" t="s">
        <v>12713</v>
      </c>
      <c r="D6741" s="14">
        <v>1</v>
      </c>
      <c r="E6741" s="17">
        <v>2501.41</v>
      </c>
      <c r="F6741" s="16" t="s">
        <v>8</v>
      </c>
      <c r="G6741" s="38" t="str">
        <f>HYPERLINK("http://enext.ua/375")</f>
        <v>http://enext.ua/375</v>
      </c>
    </row>
    <row r="6742" spans="2:7" ht="11.25" outlineLevel="3" x14ac:dyDescent="0.2">
      <c r="B6742" s="14" t="s">
        <v>12714</v>
      </c>
      <c r="C6742" s="14" t="s">
        <v>12715</v>
      </c>
      <c r="D6742" s="14">
        <v>1</v>
      </c>
      <c r="E6742" s="15">
        <v>879.45</v>
      </c>
      <c r="F6742" s="16" t="s">
        <v>8</v>
      </c>
      <c r="G6742" s="38" t="str">
        <f>HYPERLINK("http://enext.ua/185")</f>
        <v>http://enext.ua/185</v>
      </c>
    </row>
    <row r="6743" spans="2:7" ht="11.25" outlineLevel="3" x14ac:dyDescent="0.2">
      <c r="B6743" s="14" t="s">
        <v>12716</v>
      </c>
      <c r="C6743" s="14" t="s">
        <v>12717</v>
      </c>
      <c r="D6743" s="14">
        <v>1</v>
      </c>
      <c r="E6743" s="17">
        <v>1099.9000000000001</v>
      </c>
      <c r="F6743" s="16" t="s">
        <v>8</v>
      </c>
      <c r="G6743" s="38" t="str">
        <f>HYPERLINK("http://enext.ua/195")</f>
        <v>http://enext.ua/195</v>
      </c>
    </row>
    <row r="6744" spans="2:7" ht="11.25" outlineLevel="3" x14ac:dyDescent="0.2">
      <c r="B6744" s="14" t="s">
        <v>12718</v>
      </c>
      <c r="C6744" s="14" t="s">
        <v>12719</v>
      </c>
      <c r="D6744" s="14">
        <v>1</v>
      </c>
      <c r="E6744" s="17">
        <v>2566.73</v>
      </c>
      <c r="F6744" s="16" t="s">
        <v>8</v>
      </c>
      <c r="G6744" s="38" t="str">
        <f>HYPERLINK("http://enext.ua/381")</f>
        <v>http://enext.ua/381</v>
      </c>
    </row>
    <row r="6745" spans="2:7" ht="11.25" outlineLevel="3" x14ac:dyDescent="0.2">
      <c r="B6745" s="14" t="s">
        <v>12720</v>
      </c>
      <c r="C6745" s="14" t="s">
        <v>12721</v>
      </c>
      <c r="D6745" s="14">
        <v>1</v>
      </c>
      <c r="E6745" s="17">
        <v>2566.73</v>
      </c>
      <c r="F6745" s="16" t="s">
        <v>8</v>
      </c>
      <c r="G6745" s="38" t="str">
        <f>HYPERLINK("http://enext.ua/385")</f>
        <v>http://enext.ua/385</v>
      </c>
    </row>
    <row r="6746" spans="2:7" ht="11.25" outlineLevel="3" x14ac:dyDescent="0.2">
      <c r="B6746" s="14" t="s">
        <v>12722</v>
      </c>
      <c r="C6746" s="14" t="s">
        <v>12723</v>
      </c>
      <c r="D6746" s="14">
        <v>1</v>
      </c>
      <c r="E6746" s="17">
        <v>2859.77</v>
      </c>
      <c r="F6746" s="16" t="s">
        <v>8</v>
      </c>
      <c r="G6746" s="38" t="str">
        <f>HYPERLINK("http://enext.ua/380")</f>
        <v>http://enext.ua/380</v>
      </c>
    </row>
    <row r="6747" spans="2:7" ht="11.25" outlineLevel="3" x14ac:dyDescent="0.2">
      <c r="B6747" s="14" t="s">
        <v>12724</v>
      </c>
      <c r="C6747" s="14" t="s">
        <v>12725</v>
      </c>
      <c r="D6747" s="14">
        <v>1</v>
      </c>
      <c r="E6747" s="17">
        <v>2818.21</v>
      </c>
      <c r="F6747" s="16" t="s">
        <v>8</v>
      </c>
      <c r="G6747" s="38" t="str">
        <f>HYPERLINK("http://enext.ua/384")</f>
        <v>http://enext.ua/384</v>
      </c>
    </row>
    <row r="6748" spans="2:7" ht="11.25" outlineLevel="3" x14ac:dyDescent="0.2">
      <c r="B6748" s="14" t="s">
        <v>12726</v>
      </c>
      <c r="C6748" s="14" t="s">
        <v>12727</v>
      </c>
      <c r="D6748" s="14">
        <v>1</v>
      </c>
      <c r="E6748" s="17">
        <v>1469.5</v>
      </c>
      <c r="F6748" s="16" t="s">
        <v>8</v>
      </c>
      <c r="G6748" s="38" t="str">
        <f>HYPERLINK("http://enext.ua/065/1")</f>
        <v>http://enext.ua/065/1</v>
      </c>
    </row>
    <row r="6749" spans="2:7" ht="11.25" outlineLevel="3" x14ac:dyDescent="0.2">
      <c r="B6749" s="14" t="s">
        <v>12728</v>
      </c>
      <c r="C6749" s="14" t="s">
        <v>12729</v>
      </c>
      <c r="D6749" s="14">
        <v>1</v>
      </c>
      <c r="E6749" s="17">
        <v>1155.27</v>
      </c>
      <c r="F6749" s="16" t="s">
        <v>8</v>
      </c>
      <c r="G6749" s="38" t="str">
        <f>HYPERLINK("http://enext.ua/401-016")</f>
        <v>http://enext.ua/401-016</v>
      </c>
    </row>
    <row r="6750" spans="2:7" ht="22.5" outlineLevel="3" x14ac:dyDescent="0.2">
      <c r="B6750" s="14" t="s">
        <v>12730</v>
      </c>
      <c r="C6750" s="14" t="s">
        <v>12731</v>
      </c>
      <c r="D6750" s="14">
        <v>1</v>
      </c>
      <c r="E6750" s="17">
        <v>1477.22</v>
      </c>
      <c r="F6750" s="16" t="s">
        <v>8</v>
      </c>
      <c r="G6750" s="38" t="str">
        <f>HYPERLINK("http://enext.ua/402-016")</f>
        <v>http://enext.ua/402-016</v>
      </c>
    </row>
    <row r="6751" spans="2:7" ht="22.5" outlineLevel="3" x14ac:dyDescent="0.2">
      <c r="B6751" s="14" t="s">
        <v>12732</v>
      </c>
      <c r="C6751" s="14" t="s">
        <v>12733</v>
      </c>
      <c r="D6751" s="14">
        <v>1</v>
      </c>
      <c r="E6751" s="17">
        <v>1249.96</v>
      </c>
      <c r="F6751" s="16" t="s">
        <v>8</v>
      </c>
      <c r="G6751" s="38" t="str">
        <f>HYPERLINK("http://enext.ua/409-016")</f>
        <v>http://enext.ua/409-016</v>
      </c>
    </row>
    <row r="6752" spans="2:7" ht="22.5" outlineLevel="3" x14ac:dyDescent="0.2">
      <c r="B6752" s="14" t="s">
        <v>12734</v>
      </c>
      <c r="C6752" s="14" t="s">
        <v>12735</v>
      </c>
      <c r="D6752" s="14">
        <v>1</v>
      </c>
      <c r="E6752" s="17">
        <v>1458.28</v>
      </c>
      <c r="F6752" s="16" t="s">
        <v>8</v>
      </c>
      <c r="G6752" s="38" t="str">
        <f>HYPERLINK("http://enext.ua/410-016")</f>
        <v>http://enext.ua/410-016</v>
      </c>
    </row>
    <row r="6753" spans="2:7" ht="22.5" outlineLevel="3" x14ac:dyDescent="0.2">
      <c r="B6753" s="14" t="s">
        <v>12736</v>
      </c>
      <c r="C6753" s="14" t="s">
        <v>12737</v>
      </c>
      <c r="D6753" s="14">
        <v>1</v>
      </c>
      <c r="E6753" s="17">
        <v>1306.78</v>
      </c>
      <c r="F6753" s="16" t="s">
        <v>8</v>
      </c>
      <c r="G6753" s="38" t="str">
        <f>HYPERLINK("http://enext.ua/403-016")</f>
        <v>http://enext.ua/403-016</v>
      </c>
    </row>
    <row r="6754" spans="2:7" ht="22.5" outlineLevel="3" x14ac:dyDescent="0.2">
      <c r="B6754" s="14" t="s">
        <v>12738</v>
      </c>
      <c r="C6754" s="14" t="s">
        <v>12739</v>
      </c>
      <c r="D6754" s="14">
        <v>1</v>
      </c>
      <c r="E6754" s="17">
        <v>1552.97</v>
      </c>
      <c r="F6754" s="16" t="s">
        <v>8</v>
      </c>
      <c r="G6754" s="38" t="str">
        <f>HYPERLINK("http://enext.ua/404-016")</f>
        <v>http://enext.ua/404-016</v>
      </c>
    </row>
    <row r="6755" spans="2:7" ht="22.5" outlineLevel="3" x14ac:dyDescent="0.2">
      <c r="B6755" s="14" t="s">
        <v>12740</v>
      </c>
      <c r="C6755" s="14" t="s">
        <v>12741</v>
      </c>
      <c r="D6755" s="14">
        <v>1</v>
      </c>
      <c r="E6755" s="17">
        <v>1363.59</v>
      </c>
      <c r="F6755" s="16" t="s">
        <v>8</v>
      </c>
      <c r="G6755" s="38" t="str">
        <f>HYPERLINK("http://enext.ua/405-016")</f>
        <v>http://enext.ua/405-016</v>
      </c>
    </row>
    <row r="6756" spans="2:7" ht="22.5" outlineLevel="3" x14ac:dyDescent="0.2">
      <c r="B6756" s="14" t="s">
        <v>12742</v>
      </c>
      <c r="C6756" s="14" t="s">
        <v>12743</v>
      </c>
      <c r="D6756" s="14">
        <v>1</v>
      </c>
      <c r="E6756" s="17">
        <v>1704.5</v>
      </c>
      <c r="F6756" s="16" t="s">
        <v>8</v>
      </c>
      <c r="G6756" s="38" t="str">
        <f>HYPERLINK("http://enext.ua/406-016")</f>
        <v>http://enext.ua/406-016</v>
      </c>
    </row>
    <row r="6757" spans="2:7" ht="11.25" outlineLevel="3" x14ac:dyDescent="0.2">
      <c r="B6757" s="14" t="s">
        <v>12744</v>
      </c>
      <c r="C6757" s="14" t="s">
        <v>12745</v>
      </c>
      <c r="D6757" s="14">
        <v>1</v>
      </c>
      <c r="E6757" s="17">
        <v>1458.28</v>
      </c>
      <c r="F6757" s="16" t="s">
        <v>8</v>
      </c>
      <c r="G6757" s="38" t="str">
        <f>HYPERLINK("http://enext.ua/407-032")</f>
        <v>http://enext.ua/407-032</v>
      </c>
    </row>
    <row r="6758" spans="2:7" ht="22.5" outlineLevel="3" x14ac:dyDescent="0.2">
      <c r="B6758" s="14" t="s">
        <v>12746</v>
      </c>
      <c r="C6758" s="14" t="s">
        <v>12747</v>
      </c>
      <c r="D6758" s="14">
        <v>1</v>
      </c>
      <c r="E6758" s="17">
        <v>1874.95</v>
      </c>
      <c r="F6758" s="16" t="s">
        <v>8</v>
      </c>
      <c r="G6758" s="38" t="str">
        <f>HYPERLINK("http://enext.ua/408-032")</f>
        <v>http://enext.ua/408-032</v>
      </c>
    </row>
    <row r="6759" spans="2:7" ht="12" outlineLevel="2" x14ac:dyDescent="0.2">
      <c r="B6759" s="8"/>
      <c r="C6759" s="35" t="s">
        <v>12748</v>
      </c>
      <c r="D6759" s="8"/>
      <c r="E6759" s="9"/>
      <c r="F6759" s="9"/>
      <c r="G6759" s="8"/>
    </row>
    <row r="6760" spans="2:7" ht="11.25" outlineLevel="3" x14ac:dyDescent="0.2">
      <c r="B6760" s="14" t="s">
        <v>12749</v>
      </c>
      <c r="C6760" s="14" t="s">
        <v>12750</v>
      </c>
      <c r="D6760" s="14">
        <v>24</v>
      </c>
      <c r="E6760" s="15">
        <v>17.05</v>
      </c>
      <c r="F6760" s="16" t="s">
        <v>8</v>
      </c>
      <c r="G6760" s="38" t="str">
        <f>HYPERLINK("http://enext.ua/s9100001")</f>
        <v>http://enext.ua/s9100001</v>
      </c>
    </row>
    <row r="6761" spans="2:7" ht="11.25" outlineLevel="3" x14ac:dyDescent="0.2">
      <c r="B6761" s="14" t="s">
        <v>12751</v>
      </c>
      <c r="C6761" s="14" t="s">
        <v>12752</v>
      </c>
      <c r="D6761" s="14">
        <v>24</v>
      </c>
      <c r="E6761" s="15">
        <v>17.05</v>
      </c>
      <c r="F6761" s="16" t="s">
        <v>8</v>
      </c>
      <c r="G6761" s="38" t="str">
        <f>HYPERLINK("http://enext.ua/s9100045")</f>
        <v>http://enext.ua/s9100045</v>
      </c>
    </row>
    <row r="6762" spans="2:7" ht="11.25" outlineLevel="3" x14ac:dyDescent="0.2">
      <c r="B6762" s="14" t="s">
        <v>12753</v>
      </c>
      <c r="C6762" s="14" t="s">
        <v>12754</v>
      </c>
      <c r="D6762" s="14">
        <v>24</v>
      </c>
      <c r="E6762" s="15">
        <v>25.03</v>
      </c>
      <c r="F6762" s="16" t="s">
        <v>8</v>
      </c>
      <c r="G6762" s="38" t="str">
        <f>HYPERLINK("http://enext.ua/s9100046")</f>
        <v>http://enext.ua/s9100046</v>
      </c>
    </row>
    <row r="6763" spans="2:7" ht="11.25" outlineLevel="3" x14ac:dyDescent="0.2">
      <c r="B6763" s="14" t="s">
        <v>12755</v>
      </c>
      <c r="C6763" s="14" t="s">
        <v>12756</v>
      </c>
      <c r="D6763" s="14">
        <v>24</v>
      </c>
      <c r="E6763" s="15">
        <v>25.03</v>
      </c>
      <c r="F6763" s="16" t="s">
        <v>8</v>
      </c>
      <c r="G6763" s="38" t="str">
        <f>HYPERLINK("http://enext.ua/s9100047")</f>
        <v>http://enext.ua/s9100047</v>
      </c>
    </row>
    <row r="6764" spans="2:7" ht="11.25" outlineLevel="3" x14ac:dyDescent="0.2">
      <c r="B6764" s="14" t="s">
        <v>12757</v>
      </c>
      <c r="C6764" s="14" t="s">
        <v>12758</v>
      </c>
      <c r="D6764" s="14">
        <v>24</v>
      </c>
      <c r="E6764" s="15">
        <v>25.03</v>
      </c>
      <c r="F6764" s="16" t="s">
        <v>8</v>
      </c>
      <c r="G6764" s="38" t="str">
        <f>HYPERLINK("http://enext.ua/s9100004")</f>
        <v>http://enext.ua/s9100004</v>
      </c>
    </row>
    <row r="6765" spans="2:7" ht="11.25" outlineLevel="3" x14ac:dyDescent="0.2">
      <c r="B6765" s="14" t="s">
        <v>12759</v>
      </c>
      <c r="C6765" s="14" t="s">
        <v>12760</v>
      </c>
      <c r="D6765" s="14">
        <v>24</v>
      </c>
      <c r="E6765" s="15">
        <v>25.03</v>
      </c>
      <c r="F6765" s="16" t="s">
        <v>8</v>
      </c>
      <c r="G6765" s="38" t="str">
        <f>HYPERLINK("http://enext.ua/s9100005")</f>
        <v>http://enext.ua/s9100005</v>
      </c>
    </row>
    <row r="6766" spans="2:7" ht="11.25" outlineLevel="3" x14ac:dyDescent="0.2">
      <c r="B6766" s="14" t="s">
        <v>12761</v>
      </c>
      <c r="C6766" s="14" t="s">
        <v>12762</v>
      </c>
      <c r="D6766" s="14">
        <v>24</v>
      </c>
      <c r="E6766" s="15">
        <v>37.450000000000003</v>
      </c>
      <c r="F6766" s="16" t="s">
        <v>8</v>
      </c>
      <c r="G6766" s="38" t="str">
        <f>HYPERLINK("http://enext.ua/s9100048")</f>
        <v>http://enext.ua/s9100048</v>
      </c>
    </row>
    <row r="6767" spans="2:7" ht="11.25" outlineLevel="3" x14ac:dyDescent="0.2">
      <c r="B6767" s="14" t="s">
        <v>12763</v>
      </c>
      <c r="C6767" s="14" t="s">
        <v>12764</v>
      </c>
      <c r="D6767" s="14">
        <v>24</v>
      </c>
      <c r="E6767" s="15">
        <v>25.03</v>
      </c>
      <c r="F6767" s="16" t="s">
        <v>8</v>
      </c>
      <c r="G6767" s="38" t="str">
        <f>HYPERLINK("http://enext.ua/s9100002")</f>
        <v>http://enext.ua/s9100002</v>
      </c>
    </row>
    <row r="6768" spans="2:7" ht="11.25" outlineLevel="3" x14ac:dyDescent="0.2">
      <c r="B6768" s="14" t="s">
        <v>12765</v>
      </c>
      <c r="C6768" s="14" t="s">
        <v>12766</v>
      </c>
      <c r="D6768" s="14">
        <v>24</v>
      </c>
      <c r="E6768" s="15">
        <v>25.03</v>
      </c>
      <c r="F6768" s="16" t="s">
        <v>8</v>
      </c>
      <c r="G6768" s="38" t="str">
        <f>HYPERLINK("http://enext.ua/s9100003")</f>
        <v>http://enext.ua/s9100003</v>
      </c>
    </row>
    <row r="6769" spans="2:7" ht="12" outlineLevel="2" x14ac:dyDescent="0.2">
      <c r="B6769" s="8"/>
      <c r="C6769" s="35" t="s">
        <v>12767</v>
      </c>
      <c r="D6769" s="8"/>
      <c r="E6769" s="9"/>
      <c r="F6769" s="9"/>
      <c r="G6769" s="8"/>
    </row>
    <row r="6770" spans="2:7" ht="11.25" outlineLevel="3" x14ac:dyDescent="0.2">
      <c r="B6770" s="14" t="s">
        <v>12768</v>
      </c>
      <c r="C6770" s="14" t="s">
        <v>12769</v>
      </c>
      <c r="D6770" s="14">
        <v>24</v>
      </c>
      <c r="E6770" s="15">
        <v>15.95</v>
      </c>
      <c r="F6770" s="16" t="s">
        <v>8</v>
      </c>
      <c r="G6770" s="38" t="str">
        <f>HYPERLINK("http://enext.ua/p017002")</f>
        <v>http://enext.ua/p017002</v>
      </c>
    </row>
    <row r="6771" spans="2:7" ht="11.25" outlineLevel="3" x14ac:dyDescent="0.2">
      <c r="B6771" s="14" t="s">
        <v>12770</v>
      </c>
      <c r="C6771" s="14" t="s">
        <v>12771</v>
      </c>
      <c r="D6771" s="14">
        <v>24</v>
      </c>
      <c r="E6771" s="15">
        <v>15.95</v>
      </c>
      <c r="F6771" s="16" t="s">
        <v>8</v>
      </c>
      <c r="G6771" s="38" t="str">
        <f>HYPERLINK("http://enext.ua/p017001")</f>
        <v>http://enext.ua/p017001</v>
      </c>
    </row>
    <row r="6772" spans="2:7" ht="11.25" outlineLevel="3" x14ac:dyDescent="0.2">
      <c r="B6772" s="14" t="s">
        <v>12772</v>
      </c>
      <c r="C6772" s="14" t="s">
        <v>12773</v>
      </c>
      <c r="D6772" s="14">
        <v>24</v>
      </c>
      <c r="E6772" s="15">
        <v>25.27</v>
      </c>
      <c r="F6772" s="16" t="s">
        <v>8</v>
      </c>
      <c r="G6772" s="38" t="str">
        <f>HYPERLINK("http://enext.ua/p017004")</f>
        <v>http://enext.ua/p017004</v>
      </c>
    </row>
    <row r="6773" spans="2:7" ht="11.25" outlineLevel="3" x14ac:dyDescent="0.2">
      <c r="B6773" s="14" t="s">
        <v>12774</v>
      </c>
      <c r="C6773" s="14" t="s">
        <v>12775</v>
      </c>
      <c r="D6773" s="14">
        <v>24</v>
      </c>
      <c r="E6773" s="15">
        <v>25.27</v>
      </c>
      <c r="F6773" s="16" t="s">
        <v>8</v>
      </c>
      <c r="G6773" s="38" t="str">
        <f>HYPERLINK("http://enext.ua/p017003")</f>
        <v>http://enext.ua/p017003</v>
      </c>
    </row>
    <row r="6774" spans="2:7" ht="12" outlineLevel="2" x14ac:dyDescent="0.2">
      <c r="B6774" s="8"/>
      <c r="C6774" s="35" t="s">
        <v>12776</v>
      </c>
      <c r="D6774" s="8"/>
      <c r="E6774" s="9"/>
      <c r="F6774" s="9"/>
      <c r="G6774" s="8"/>
    </row>
    <row r="6775" spans="2:7" ht="11.25" outlineLevel="3" x14ac:dyDescent="0.2">
      <c r="B6775" s="14" t="s">
        <v>12777</v>
      </c>
      <c r="C6775" s="14" t="s">
        <v>12778</v>
      </c>
      <c r="D6775" s="14">
        <v>10</v>
      </c>
      <c r="E6775" s="15">
        <v>38.15</v>
      </c>
      <c r="F6775" s="16" t="s">
        <v>8</v>
      </c>
      <c r="G6775" s="38" t="str">
        <f>HYPERLINK("http://enext.ua/s9100052")</f>
        <v>http://enext.ua/s9100052</v>
      </c>
    </row>
    <row r="6776" spans="2:7" ht="11.25" outlineLevel="3" x14ac:dyDescent="0.2">
      <c r="B6776" s="14" t="s">
        <v>12779</v>
      </c>
      <c r="C6776" s="14" t="s">
        <v>12780</v>
      </c>
      <c r="D6776" s="14">
        <v>9</v>
      </c>
      <c r="E6776" s="15">
        <v>50.67</v>
      </c>
      <c r="F6776" s="16" t="s">
        <v>8</v>
      </c>
      <c r="G6776" s="38" t="str">
        <f>HYPERLINK("http://enext.ua/s9100054")</f>
        <v>http://enext.ua/s9100054</v>
      </c>
    </row>
    <row r="6777" spans="2:7" ht="11.25" outlineLevel="3" x14ac:dyDescent="0.2">
      <c r="B6777" s="14" t="s">
        <v>12781</v>
      </c>
      <c r="C6777" s="14" t="s">
        <v>12782</v>
      </c>
      <c r="D6777" s="14">
        <v>1</v>
      </c>
      <c r="E6777" s="15">
        <v>49.45</v>
      </c>
      <c r="F6777" s="16" t="s">
        <v>8</v>
      </c>
      <c r="G6777" s="38" t="str">
        <f>HYPERLINK("http://enext.ua/s9100053")</f>
        <v>http://enext.ua/s9100053</v>
      </c>
    </row>
    <row r="6778" spans="2:7" ht="11.25" outlineLevel="3" x14ac:dyDescent="0.2">
      <c r="B6778" s="14" t="s">
        <v>12783</v>
      </c>
      <c r="C6778" s="14" t="s">
        <v>12784</v>
      </c>
      <c r="D6778" s="14">
        <v>9</v>
      </c>
      <c r="E6778" s="15">
        <v>64.260000000000005</v>
      </c>
      <c r="F6778" s="16" t="s">
        <v>8</v>
      </c>
      <c r="G6778" s="38" t="str">
        <f>HYPERLINK("http://enext.ua/s9100055")</f>
        <v>http://enext.ua/s9100055</v>
      </c>
    </row>
    <row r="6779" spans="2:7" ht="12" outlineLevel="2" x14ac:dyDescent="0.2">
      <c r="B6779" s="8"/>
      <c r="C6779" s="35" t="s">
        <v>12785</v>
      </c>
      <c r="D6779" s="8"/>
      <c r="E6779" s="9"/>
      <c r="F6779" s="9"/>
      <c r="G6779" s="8"/>
    </row>
    <row r="6780" spans="2:7" ht="12" outlineLevel="3" x14ac:dyDescent="0.2">
      <c r="B6780" s="10"/>
      <c r="C6780" s="36" t="s">
        <v>12786</v>
      </c>
      <c r="D6780" s="10"/>
      <c r="E6780" s="11"/>
      <c r="F6780" s="11"/>
      <c r="G6780" s="10"/>
    </row>
    <row r="6781" spans="2:7" ht="11.25" outlineLevel="4" x14ac:dyDescent="0.2">
      <c r="B6781" s="14" t="s">
        <v>12787</v>
      </c>
      <c r="C6781" s="14" t="s">
        <v>12788</v>
      </c>
      <c r="D6781" s="14">
        <v>1</v>
      </c>
      <c r="E6781" s="15">
        <v>170.57</v>
      </c>
      <c r="F6781" s="16" t="s">
        <v>8</v>
      </c>
      <c r="G6781" s="38" t="str">
        <f>HYPERLINK("http://enext.ua/s042010")</f>
        <v>http://enext.ua/s042010</v>
      </c>
    </row>
    <row r="6782" spans="2:7" ht="11.25" outlineLevel="4" x14ac:dyDescent="0.2">
      <c r="B6782" s="14" t="s">
        <v>12789</v>
      </c>
      <c r="C6782" s="14" t="s">
        <v>12790</v>
      </c>
      <c r="D6782" s="14">
        <v>1</v>
      </c>
      <c r="E6782" s="15">
        <v>113.62</v>
      </c>
      <c r="F6782" s="16" t="s">
        <v>8</v>
      </c>
      <c r="G6782" s="14"/>
    </row>
    <row r="6783" spans="2:7" ht="11.25" outlineLevel="4" x14ac:dyDescent="0.2">
      <c r="B6783" s="14" t="s">
        <v>12791</v>
      </c>
      <c r="C6783" s="14" t="s">
        <v>12792</v>
      </c>
      <c r="D6783" s="14">
        <v>1</v>
      </c>
      <c r="E6783" s="15">
        <v>124.95</v>
      </c>
      <c r="F6783" s="16" t="s">
        <v>8</v>
      </c>
      <c r="G6783" s="38" t="str">
        <f>HYPERLINK("http://enext.ua/s042064")</f>
        <v>http://enext.ua/s042064</v>
      </c>
    </row>
    <row r="6784" spans="2:7" ht="11.25" outlineLevel="4" x14ac:dyDescent="0.2">
      <c r="B6784" s="14" t="s">
        <v>12793</v>
      </c>
      <c r="C6784" s="14" t="s">
        <v>12794</v>
      </c>
      <c r="D6784" s="14">
        <v>1</v>
      </c>
      <c r="E6784" s="15">
        <v>143.41999999999999</v>
      </c>
      <c r="F6784" s="16" t="s">
        <v>8</v>
      </c>
      <c r="G6784" s="38" t="str">
        <f>HYPERLINK("http://enext.ua/s042065")</f>
        <v>http://enext.ua/s042065</v>
      </c>
    </row>
    <row r="6785" spans="2:7" ht="11.25" outlineLevel="4" x14ac:dyDescent="0.2">
      <c r="B6785" s="14" t="s">
        <v>12795</v>
      </c>
      <c r="C6785" s="14" t="s">
        <v>12796</v>
      </c>
      <c r="D6785" s="14">
        <v>1</v>
      </c>
      <c r="E6785" s="15">
        <v>115.65</v>
      </c>
      <c r="F6785" s="16" t="s">
        <v>8</v>
      </c>
      <c r="G6785" s="38" t="str">
        <f>HYPERLINK("http://enext.ua/s042058")</f>
        <v>http://enext.ua/s042058</v>
      </c>
    </row>
    <row r="6786" spans="2:7" ht="11.25" outlineLevel="4" x14ac:dyDescent="0.2">
      <c r="B6786" s="14" t="s">
        <v>12797</v>
      </c>
      <c r="C6786" s="14" t="s">
        <v>12798</v>
      </c>
      <c r="D6786" s="14">
        <v>1</v>
      </c>
      <c r="E6786" s="15">
        <v>156.91</v>
      </c>
      <c r="F6786" s="16" t="s">
        <v>8</v>
      </c>
      <c r="G6786" s="38" t="str">
        <f>HYPERLINK("http://enext.ua/s042059")</f>
        <v>http://enext.ua/s042059</v>
      </c>
    </row>
    <row r="6787" spans="2:7" ht="11.25" outlineLevel="4" x14ac:dyDescent="0.2">
      <c r="B6787" s="14" t="s">
        <v>12799</v>
      </c>
      <c r="C6787" s="14" t="s">
        <v>12800</v>
      </c>
      <c r="D6787" s="14">
        <v>1</v>
      </c>
      <c r="E6787" s="15">
        <v>129.88999999999999</v>
      </c>
      <c r="F6787" s="16" t="s">
        <v>8</v>
      </c>
      <c r="G6787" s="38" t="str">
        <f>HYPERLINK("http://enext.ua/s042062")</f>
        <v>http://enext.ua/s042062</v>
      </c>
    </row>
    <row r="6788" spans="2:7" ht="11.25" outlineLevel="4" x14ac:dyDescent="0.2">
      <c r="B6788" s="14" t="s">
        <v>12801</v>
      </c>
      <c r="C6788" s="14" t="s">
        <v>12802</v>
      </c>
      <c r="D6788" s="14">
        <v>1</v>
      </c>
      <c r="E6788" s="15">
        <v>171.73</v>
      </c>
      <c r="F6788" s="16" t="s">
        <v>8</v>
      </c>
      <c r="G6788" s="38" t="str">
        <f>HYPERLINK("http://enext.ua/s042063")</f>
        <v>http://enext.ua/s042063</v>
      </c>
    </row>
    <row r="6789" spans="2:7" ht="11.25" outlineLevel="4" x14ac:dyDescent="0.2">
      <c r="B6789" s="14" t="s">
        <v>12803</v>
      </c>
      <c r="C6789" s="14" t="s">
        <v>12804</v>
      </c>
      <c r="D6789" s="14">
        <v>1</v>
      </c>
      <c r="E6789" s="15">
        <v>140.05000000000001</v>
      </c>
      <c r="F6789" s="16" t="s">
        <v>8</v>
      </c>
      <c r="G6789" s="38" t="str">
        <f>HYPERLINK("http://enext.ua/s042066")</f>
        <v>http://enext.ua/s042066</v>
      </c>
    </row>
    <row r="6790" spans="2:7" ht="11.25" outlineLevel="4" x14ac:dyDescent="0.2">
      <c r="B6790" s="14" t="s">
        <v>12805</v>
      </c>
      <c r="C6790" s="14" t="s">
        <v>12806</v>
      </c>
      <c r="D6790" s="14">
        <v>1</v>
      </c>
      <c r="E6790" s="15">
        <v>75.91</v>
      </c>
      <c r="F6790" s="16" t="s">
        <v>8</v>
      </c>
      <c r="G6790" s="14"/>
    </row>
    <row r="6791" spans="2:7" ht="11.25" outlineLevel="4" x14ac:dyDescent="0.2">
      <c r="B6791" s="14" t="s">
        <v>12807</v>
      </c>
      <c r="C6791" s="14" t="s">
        <v>12808</v>
      </c>
      <c r="D6791" s="14">
        <v>1</v>
      </c>
      <c r="E6791" s="15">
        <v>86.42</v>
      </c>
      <c r="F6791" s="16" t="s">
        <v>8</v>
      </c>
      <c r="G6791" s="38" t="str">
        <f>HYPERLINK("http://enext.ua/s042120")</f>
        <v>http://enext.ua/s042120</v>
      </c>
    </row>
    <row r="6792" spans="2:7" ht="11.25" outlineLevel="4" x14ac:dyDescent="0.2">
      <c r="B6792" s="14" t="s">
        <v>12809</v>
      </c>
      <c r="C6792" s="14" t="s">
        <v>12810</v>
      </c>
      <c r="D6792" s="14">
        <v>1</v>
      </c>
      <c r="E6792" s="15">
        <v>114.95</v>
      </c>
      <c r="F6792" s="16" t="s">
        <v>8</v>
      </c>
      <c r="G6792" s="38" t="str">
        <f>HYPERLINK("http://enext.ua/s042122")</f>
        <v>http://enext.ua/s042122</v>
      </c>
    </row>
    <row r="6793" spans="2:7" ht="11.25" outlineLevel="4" x14ac:dyDescent="0.2">
      <c r="B6793" s="14" t="s">
        <v>12811</v>
      </c>
      <c r="C6793" s="14" t="s">
        <v>12812</v>
      </c>
      <c r="D6793" s="14">
        <v>1</v>
      </c>
      <c r="E6793" s="15">
        <v>133.18</v>
      </c>
      <c r="F6793" s="16" t="s">
        <v>8</v>
      </c>
      <c r="G6793" s="14"/>
    </row>
    <row r="6794" spans="2:7" ht="11.25" outlineLevel="4" x14ac:dyDescent="0.2">
      <c r="B6794" s="14" t="s">
        <v>12813</v>
      </c>
      <c r="C6794" s="14" t="s">
        <v>12814</v>
      </c>
      <c r="D6794" s="14">
        <v>1</v>
      </c>
      <c r="E6794" s="15">
        <v>183.34</v>
      </c>
      <c r="F6794" s="16" t="s">
        <v>8</v>
      </c>
      <c r="G6794" s="38" t="str">
        <f>HYPERLINK("http://enext.ua/s042121")</f>
        <v>http://enext.ua/s042121</v>
      </c>
    </row>
    <row r="6795" spans="2:7" ht="11.25" outlineLevel="4" x14ac:dyDescent="0.2">
      <c r="B6795" s="14" t="s">
        <v>12815</v>
      </c>
      <c r="C6795" s="14" t="s">
        <v>12816</v>
      </c>
      <c r="D6795" s="14">
        <v>1</v>
      </c>
      <c r="E6795" s="15">
        <v>242.9</v>
      </c>
      <c r="F6795" s="16" t="s">
        <v>8</v>
      </c>
      <c r="G6795" s="38" t="str">
        <f>HYPERLINK("http://enext.ua/s042123")</f>
        <v>http://enext.ua/s042123</v>
      </c>
    </row>
    <row r="6796" spans="2:7" ht="11.25" outlineLevel="4" x14ac:dyDescent="0.2">
      <c r="B6796" s="14" t="s">
        <v>12817</v>
      </c>
      <c r="C6796" s="14" t="s">
        <v>12818</v>
      </c>
      <c r="D6796" s="14">
        <v>1</v>
      </c>
      <c r="E6796" s="15">
        <v>103.93</v>
      </c>
      <c r="F6796" s="16" t="s">
        <v>8</v>
      </c>
      <c r="G6796" s="14"/>
    </row>
    <row r="6797" spans="2:7" ht="11.25" outlineLevel="4" x14ac:dyDescent="0.2">
      <c r="B6797" s="14" t="s">
        <v>12819</v>
      </c>
      <c r="C6797" s="14" t="s">
        <v>12820</v>
      </c>
      <c r="D6797" s="14">
        <v>1</v>
      </c>
      <c r="E6797" s="15">
        <v>131.96</v>
      </c>
      <c r="F6797" s="16" t="s">
        <v>8</v>
      </c>
      <c r="G6797" s="14"/>
    </row>
    <row r="6798" spans="2:7" ht="11.25" outlineLevel="4" x14ac:dyDescent="0.2">
      <c r="B6798" s="14" t="s">
        <v>12821</v>
      </c>
      <c r="C6798" s="14" t="s">
        <v>12822</v>
      </c>
      <c r="D6798" s="14">
        <v>1</v>
      </c>
      <c r="E6798" s="15">
        <v>183.93</v>
      </c>
      <c r="F6798" s="16" t="s">
        <v>8</v>
      </c>
      <c r="G6798" s="38" t="str">
        <f>HYPERLINK("http://enext.ua/s042067")</f>
        <v>http://enext.ua/s042067</v>
      </c>
    </row>
    <row r="6799" spans="2:7" ht="11.25" outlineLevel="4" x14ac:dyDescent="0.2">
      <c r="B6799" s="14" t="s">
        <v>12823</v>
      </c>
      <c r="C6799" s="14" t="s">
        <v>12824</v>
      </c>
      <c r="D6799" s="14">
        <v>1</v>
      </c>
      <c r="E6799" s="15">
        <v>155.46</v>
      </c>
      <c r="F6799" s="16" t="s">
        <v>8</v>
      </c>
      <c r="G6799" s="38" t="str">
        <f>HYPERLINK("http://enext.ua/s042004")</f>
        <v>http://enext.ua/s042004</v>
      </c>
    </row>
    <row r="6800" spans="2:7" ht="11.25" outlineLevel="4" x14ac:dyDescent="0.2">
      <c r="B6800" s="14" t="s">
        <v>12825</v>
      </c>
      <c r="C6800" s="14" t="s">
        <v>12826</v>
      </c>
      <c r="D6800" s="14">
        <v>1</v>
      </c>
      <c r="E6800" s="15">
        <v>212.41</v>
      </c>
      <c r="F6800" s="16" t="s">
        <v>8</v>
      </c>
      <c r="G6800" s="38" t="str">
        <f>HYPERLINK("http://enext.ua/s042005")</f>
        <v>http://enext.ua/s042005</v>
      </c>
    </row>
    <row r="6801" spans="2:7" ht="11.25" outlineLevel="4" x14ac:dyDescent="0.2">
      <c r="B6801" s="14" t="s">
        <v>12827</v>
      </c>
      <c r="C6801" s="14" t="s">
        <v>12828</v>
      </c>
      <c r="D6801" s="14">
        <v>1</v>
      </c>
      <c r="E6801" s="15">
        <v>227.8</v>
      </c>
      <c r="F6801" s="16" t="s">
        <v>8</v>
      </c>
      <c r="G6801" s="38" t="str">
        <f>HYPERLINK("http://enext.ua/s042011")</f>
        <v>http://enext.ua/s042011</v>
      </c>
    </row>
    <row r="6802" spans="2:7" ht="11.25" outlineLevel="4" x14ac:dyDescent="0.2">
      <c r="B6802" s="14" t="s">
        <v>12829</v>
      </c>
      <c r="C6802" s="14" t="s">
        <v>12830</v>
      </c>
      <c r="D6802" s="14">
        <v>1</v>
      </c>
      <c r="E6802" s="15">
        <v>179.57</v>
      </c>
      <c r="F6802" s="16" t="s">
        <v>8</v>
      </c>
      <c r="G6802" s="38" t="str">
        <f>HYPERLINK("http://enext.ua/s042016")</f>
        <v>http://enext.ua/s042016</v>
      </c>
    </row>
    <row r="6803" spans="2:7" ht="11.25" outlineLevel="4" x14ac:dyDescent="0.2">
      <c r="B6803" s="14" t="s">
        <v>12831</v>
      </c>
      <c r="C6803" s="14" t="s">
        <v>12832</v>
      </c>
      <c r="D6803" s="14">
        <v>1</v>
      </c>
      <c r="E6803" s="15">
        <v>237.68</v>
      </c>
      <c r="F6803" s="16" t="s">
        <v>8</v>
      </c>
      <c r="G6803" s="38" t="str">
        <f>HYPERLINK("http://enext.ua/s042017")</f>
        <v>http://enext.ua/s042017</v>
      </c>
    </row>
    <row r="6804" spans="2:7" ht="11.25" outlineLevel="4" x14ac:dyDescent="0.2">
      <c r="B6804" s="14" t="s">
        <v>12833</v>
      </c>
      <c r="C6804" s="14" t="s">
        <v>12834</v>
      </c>
      <c r="D6804" s="14">
        <v>1</v>
      </c>
      <c r="E6804" s="15">
        <v>180.15</v>
      </c>
      <c r="F6804" s="16" t="s">
        <v>8</v>
      </c>
      <c r="G6804" s="38" t="str">
        <f>HYPERLINK("http://enext.ua/s042007")</f>
        <v>http://enext.ua/s042007</v>
      </c>
    </row>
    <row r="6805" spans="2:7" ht="11.25" outlineLevel="4" x14ac:dyDescent="0.2">
      <c r="B6805" s="14" t="s">
        <v>12835</v>
      </c>
      <c r="C6805" s="14" t="s">
        <v>12836</v>
      </c>
      <c r="D6805" s="14">
        <v>1</v>
      </c>
      <c r="E6805" s="15">
        <v>237.1</v>
      </c>
      <c r="F6805" s="16" t="s">
        <v>8</v>
      </c>
      <c r="G6805" s="38" t="str">
        <f>HYPERLINK("http://enext.ua/s042008")</f>
        <v>http://enext.ua/s042008</v>
      </c>
    </row>
    <row r="6806" spans="2:7" ht="11.25" outlineLevel="4" x14ac:dyDescent="0.2">
      <c r="B6806" s="14" t="s">
        <v>12837</v>
      </c>
      <c r="C6806" s="14" t="s">
        <v>12838</v>
      </c>
      <c r="D6806" s="14">
        <v>1</v>
      </c>
      <c r="E6806" s="15">
        <v>194.39</v>
      </c>
      <c r="F6806" s="16" t="s">
        <v>8</v>
      </c>
      <c r="G6806" s="38" t="str">
        <f>HYPERLINK("http://enext.ua/s042013")</f>
        <v>http://enext.ua/s042013</v>
      </c>
    </row>
    <row r="6807" spans="2:7" ht="11.25" outlineLevel="4" x14ac:dyDescent="0.2">
      <c r="B6807" s="14" t="s">
        <v>12839</v>
      </c>
      <c r="C6807" s="14" t="s">
        <v>12840</v>
      </c>
      <c r="D6807" s="14">
        <v>1</v>
      </c>
      <c r="E6807" s="15">
        <v>251.34</v>
      </c>
      <c r="F6807" s="16" t="s">
        <v>8</v>
      </c>
      <c r="G6807" s="38" t="str">
        <f>HYPERLINK("http://enext.ua/s042014")</f>
        <v>http://enext.ua/s042014</v>
      </c>
    </row>
    <row r="6808" spans="2:7" ht="11.25" outlineLevel="4" x14ac:dyDescent="0.2">
      <c r="B6808" s="14" t="s">
        <v>12841</v>
      </c>
      <c r="C6808" s="14" t="s">
        <v>12842</v>
      </c>
      <c r="D6808" s="14">
        <v>1</v>
      </c>
      <c r="E6808" s="15">
        <v>208.63</v>
      </c>
      <c r="F6808" s="16" t="s">
        <v>8</v>
      </c>
      <c r="G6808" s="38" t="str">
        <f>HYPERLINK("http://enext.ua/s042019")</f>
        <v>http://enext.ua/s042019</v>
      </c>
    </row>
    <row r="6809" spans="2:7" ht="11.25" outlineLevel="4" x14ac:dyDescent="0.2">
      <c r="B6809" s="14" t="s">
        <v>12843</v>
      </c>
      <c r="C6809" s="14" t="s">
        <v>12844</v>
      </c>
      <c r="D6809" s="14">
        <v>1</v>
      </c>
      <c r="E6809" s="15">
        <v>265.87</v>
      </c>
      <c r="F6809" s="16" t="s">
        <v>8</v>
      </c>
      <c r="G6809" s="38" t="str">
        <f>HYPERLINK("http://enext.ua/s042020")</f>
        <v>http://enext.ua/s042020</v>
      </c>
    </row>
    <row r="6810" spans="2:7" ht="22.5" outlineLevel="4" x14ac:dyDescent="0.2">
      <c r="B6810" s="14" t="s">
        <v>12845</v>
      </c>
      <c r="C6810" s="14" t="s">
        <v>12846</v>
      </c>
      <c r="D6810" s="14">
        <v>1</v>
      </c>
      <c r="E6810" s="15">
        <v>268.77999999999997</v>
      </c>
      <c r="F6810" s="16" t="s">
        <v>8</v>
      </c>
      <c r="G6810" s="38" t="str">
        <f>HYPERLINK("http://enext.ua/s042070")</f>
        <v>http://enext.ua/s042070</v>
      </c>
    </row>
    <row r="6811" spans="2:7" ht="22.5" outlineLevel="4" x14ac:dyDescent="0.2">
      <c r="B6811" s="14" t="s">
        <v>12847</v>
      </c>
      <c r="C6811" s="14" t="s">
        <v>12848</v>
      </c>
      <c r="D6811" s="14">
        <v>1</v>
      </c>
      <c r="E6811" s="15">
        <v>270.52</v>
      </c>
      <c r="F6811" s="16" t="s">
        <v>8</v>
      </c>
      <c r="G6811" s="38" t="str">
        <f>HYPERLINK("http://enext.ua/s042072")</f>
        <v>http://enext.ua/s042072</v>
      </c>
    </row>
    <row r="6812" spans="2:7" ht="22.5" outlineLevel="4" x14ac:dyDescent="0.2">
      <c r="B6812" s="14" t="s">
        <v>12849</v>
      </c>
      <c r="C6812" s="14" t="s">
        <v>12850</v>
      </c>
      <c r="D6812" s="14">
        <v>1</v>
      </c>
      <c r="E6812" s="17">
        <v>1388.91</v>
      </c>
      <c r="F6812" s="16" t="s">
        <v>8</v>
      </c>
      <c r="G6812" s="38" t="str">
        <f>HYPERLINK("http://enext.ua/s042096")</f>
        <v>http://enext.ua/s042096</v>
      </c>
    </row>
    <row r="6813" spans="2:7" ht="22.5" outlineLevel="4" x14ac:dyDescent="0.2">
      <c r="B6813" s="14" t="s">
        <v>12851</v>
      </c>
      <c r="C6813" s="14" t="s">
        <v>12852</v>
      </c>
      <c r="D6813" s="14">
        <v>1</v>
      </c>
      <c r="E6813" s="17">
        <v>2472.4299999999998</v>
      </c>
      <c r="F6813" s="16" t="s">
        <v>8</v>
      </c>
      <c r="G6813" s="38" t="str">
        <f>HYPERLINK("http://enext.ua/s042097")</f>
        <v>http://enext.ua/s042097</v>
      </c>
    </row>
    <row r="6814" spans="2:7" ht="12" outlineLevel="3" x14ac:dyDescent="0.2">
      <c r="B6814" s="10"/>
      <c r="C6814" s="36" t="s">
        <v>12853</v>
      </c>
      <c r="D6814" s="10"/>
      <c r="E6814" s="11"/>
      <c r="F6814" s="11"/>
      <c r="G6814" s="10"/>
    </row>
    <row r="6815" spans="2:7" ht="11.25" outlineLevel="4" x14ac:dyDescent="0.2">
      <c r="B6815" s="14" t="s">
        <v>12854</v>
      </c>
      <c r="C6815" s="14" t="s">
        <v>12855</v>
      </c>
      <c r="D6815" s="14">
        <v>1</v>
      </c>
      <c r="E6815" s="15">
        <v>572.73</v>
      </c>
      <c r="F6815" s="16" t="s">
        <v>8</v>
      </c>
      <c r="G6815" s="38" t="str">
        <f>HYPERLINK("http://enext.ua/s042301")</f>
        <v>http://enext.ua/s042301</v>
      </c>
    </row>
    <row r="6816" spans="2:7" ht="12" outlineLevel="3" x14ac:dyDescent="0.2">
      <c r="B6816" s="10"/>
      <c r="C6816" s="36" t="s">
        <v>12856</v>
      </c>
      <c r="D6816" s="10"/>
      <c r="E6816" s="11"/>
      <c r="F6816" s="11"/>
      <c r="G6816" s="10"/>
    </row>
    <row r="6817" spans="2:7" ht="11.25" outlineLevel="4" x14ac:dyDescent="0.2">
      <c r="B6817" s="14" t="s">
        <v>12857</v>
      </c>
      <c r="C6817" s="14" t="s">
        <v>12858</v>
      </c>
      <c r="D6817" s="14">
        <v>1</v>
      </c>
      <c r="E6817" s="15">
        <v>45.52</v>
      </c>
      <c r="F6817" s="16" t="s">
        <v>8</v>
      </c>
      <c r="G6817" s="38" t="str">
        <f>HYPERLINK("http://enext.ua/s042099")</f>
        <v>http://enext.ua/s042099</v>
      </c>
    </row>
    <row r="6818" spans="2:7" ht="11.25" outlineLevel="4" x14ac:dyDescent="0.2">
      <c r="B6818" s="14" t="s">
        <v>12859</v>
      </c>
      <c r="C6818" s="14" t="s">
        <v>12860</v>
      </c>
      <c r="D6818" s="14">
        <v>1</v>
      </c>
      <c r="E6818" s="15">
        <v>57.53</v>
      </c>
      <c r="F6818" s="16" t="s">
        <v>8</v>
      </c>
      <c r="G6818" s="38" t="str">
        <f>HYPERLINK("http://enext.ua/s042100")</f>
        <v>http://enext.ua/s042100</v>
      </c>
    </row>
    <row r="6819" spans="2:7" ht="11.25" outlineLevel="4" x14ac:dyDescent="0.2">
      <c r="B6819" s="14" t="s">
        <v>12861</v>
      </c>
      <c r="C6819" s="14" t="s">
        <v>12862</v>
      </c>
      <c r="D6819" s="14">
        <v>1</v>
      </c>
      <c r="E6819" s="15">
        <v>54.9</v>
      </c>
      <c r="F6819" s="16" t="s">
        <v>8</v>
      </c>
      <c r="G6819" s="38" t="str">
        <f>HYPERLINK("http://enext.ua/s042101")</f>
        <v>http://enext.ua/s042101</v>
      </c>
    </row>
    <row r="6820" spans="2:7" ht="11.25" outlineLevel="4" x14ac:dyDescent="0.2">
      <c r="B6820" s="14" t="s">
        <v>12863</v>
      </c>
      <c r="C6820" s="14" t="s">
        <v>12864</v>
      </c>
      <c r="D6820" s="14">
        <v>1</v>
      </c>
      <c r="E6820" s="15">
        <v>81.59</v>
      </c>
      <c r="F6820" s="16" t="s">
        <v>8</v>
      </c>
      <c r="G6820" s="38" t="str">
        <f>HYPERLINK("http://enext.ua/s042102")</f>
        <v>http://enext.ua/s042102</v>
      </c>
    </row>
    <row r="6821" spans="2:7" ht="11.25" outlineLevel="4" x14ac:dyDescent="0.2">
      <c r="B6821" s="14" t="s">
        <v>12865</v>
      </c>
      <c r="C6821" s="14" t="s">
        <v>12866</v>
      </c>
      <c r="D6821" s="14">
        <v>1</v>
      </c>
      <c r="E6821" s="15">
        <v>117.68</v>
      </c>
      <c r="F6821" s="16" t="s">
        <v>8</v>
      </c>
      <c r="G6821" s="38" t="str">
        <f>HYPERLINK("http://enext.ua/s042105")</f>
        <v>http://enext.ua/s042105</v>
      </c>
    </row>
    <row r="6822" spans="2:7" ht="11.25" outlineLevel="4" x14ac:dyDescent="0.2">
      <c r="B6822" s="14" t="s">
        <v>12867</v>
      </c>
      <c r="C6822" s="14" t="s">
        <v>12868</v>
      </c>
      <c r="D6822" s="14">
        <v>1</v>
      </c>
      <c r="E6822" s="15">
        <v>95.28</v>
      </c>
      <c r="F6822" s="16" t="s">
        <v>8</v>
      </c>
      <c r="G6822" s="38" t="str">
        <f>HYPERLINK("http://enext.ua/s042103")</f>
        <v>http://enext.ua/s042103</v>
      </c>
    </row>
    <row r="6823" spans="2:7" ht="11.25" outlineLevel="4" x14ac:dyDescent="0.2">
      <c r="B6823" s="14" t="s">
        <v>12869</v>
      </c>
      <c r="C6823" s="14" t="s">
        <v>12870</v>
      </c>
      <c r="D6823" s="14">
        <v>1</v>
      </c>
      <c r="E6823" s="15">
        <v>154.88</v>
      </c>
      <c r="F6823" s="16" t="s">
        <v>8</v>
      </c>
      <c r="G6823" s="38" t="str">
        <f>HYPERLINK("http://enext.ua/s042106")</f>
        <v>http://enext.ua/s042106</v>
      </c>
    </row>
    <row r="6824" spans="2:7" ht="11.25" outlineLevel="4" x14ac:dyDescent="0.2">
      <c r="B6824" s="14" t="s">
        <v>12871</v>
      </c>
      <c r="C6824" s="14" t="s">
        <v>12872</v>
      </c>
      <c r="D6824" s="14">
        <v>1</v>
      </c>
      <c r="E6824" s="15">
        <v>144.32</v>
      </c>
      <c r="F6824" s="16" t="s">
        <v>8</v>
      </c>
      <c r="G6824" s="38" t="str">
        <f>HYPERLINK("http://enext.ua/s042104")</f>
        <v>http://enext.ua/s042104</v>
      </c>
    </row>
    <row r="6825" spans="2:7" ht="12" outlineLevel="3" x14ac:dyDescent="0.2">
      <c r="B6825" s="10"/>
      <c r="C6825" s="36" t="s">
        <v>12873</v>
      </c>
      <c r="D6825" s="10"/>
      <c r="E6825" s="11"/>
      <c r="F6825" s="11"/>
      <c r="G6825" s="10"/>
    </row>
    <row r="6826" spans="2:7" ht="11.25" outlineLevel="4" x14ac:dyDescent="0.2">
      <c r="B6826" s="14" t="s">
        <v>12874</v>
      </c>
      <c r="C6826" s="14" t="s">
        <v>12875</v>
      </c>
      <c r="D6826" s="14">
        <v>1</v>
      </c>
      <c r="E6826" s="15">
        <v>65.42</v>
      </c>
      <c r="F6826" s="16" t="s">
        <v>8</v>
      </c>
      <c r="G6826" s="38" t="str">
        <f>HYPERLINK("http://enext.ua/s042200")</f>
        <v>http://enext.ua/s042200</v>
      </c>
    </row>
    <row r="6827" spans="2:7" ht="11.25" outlineLevel="4" x14ac:dyDescent="0.2">
      <c r="B6827" s="14" t="s">
        <v>12876</v>
      </c>
      <c r="C6827" s="14" t="s">
        <v>12877</v>
      </c>
      <c r="D6827" s="14">
        <v>1</v>
      </c>
      <c r="E6827" s="15">
        <v>91.41</v>
      </c>
      <c r="F6827" s="16" t="s">
        <v>8</v>
      </c>
      <c r="G6827" s="38" t="str">
        <f>HYPERLINK("http://enext.ua/s042201")</f>
        <v>http://enext.ua/s042201</v>
      </c>
    </row>
    <row r="6828" spans="2:7" ht="11.25" outlineLevel="4" x14ac:dyDescent="0.2">
      <c r="B6828" s="14" t="s">
        <v>12878</v>
      </c>
      <c r="C6828" s="14" t="s">
        <v>12879</v>
      </c>
      <c r="D6828" s="14">
        <v>1</v>
      </c>
      <c r="E6828" s="15">
        <v>30.79</v>
      </c>
      <c r="F6828" s="16" t="s">
        <v>8</v>
      </c>
      <c r="G6828" s="38" t="str">
        <f>HYPERLINK("http://enext.ua/s042202")</f>
        <v>http://enext.ua/s042202</v>
      </c>
    </row>
    <row r="6829" spans="2:7" ht="11.25" outlineLevel="4" x14ac:dyDescent="0.2">
      <c r="B6829" s="14" t="s">
        <v>12880</v>
      </c>
      <c r="C6829" s="14" t="s">
        <v>12881</v>
      </c>
      <c r="D6829" s="14">
        <v>1</v>
      </c>
      <c r="E6829" s="15">
        <v>106.8</v>
      </c>
      <c r="F6829" s="16" t="s">
        <v>8</v>
      </c>
      <c r="G6829" s="38" t="str">
        <f>HYPERLINK("http://enext.ua/s042203")</f>
        <v>http://enext.ua/s042203</v>
      </c>
    </row>
    <row r="6830" spans="2:7" ht="12" outlineLevel="2" x14ac:dyDescent="0.2">
      <c r="B6830" s="8"/>
      <c r="C6830" s="35" t="s">
        <v>12882</v>
      </c>
      <c r="D6830" s="8"/>
      <c r="E6830" s="9"/>
      <c r="F6830" s="9"/>
      <c r="G6830" s="8"/>
    </row>
    <row r="6831" spans="2:7" ht="12" outlineLevel="3" x14ac:dyDescent="0.2">
      <c r="B6831" s="10"/>
      <c r="C6831" s="36" t="s">
        <v>12883</v>
      </c>
      <c r="D6831" s="10"/>
      <c r="E6831" s="11"/>
      <c r="F6831" s="11"/>
      <c r="G6831" s="10"/>
    </row>
    <row r="6832" spans="2:7" ht="11.25" outlineLevel="4" x14ac:dyDescent="0.2">
      <c r="B6832" s="14" t="s">
        <v>12884</v>
      </c>
      <c r="C6832" s="14" t="s">
        <v>12885</v>
      </c>
      <c r="D6832" s="14">
        <v>8</v>
      </c>
      <c r="E6832" s="15">
        <v>52.38</v>
      </c>
      <c r="F6832" s="16" t="s">
        <v>8</v>
      </c>
      <c r="G6832" s="38" t="str">
        <f>HYPERLINK("http://enext.ua/s035051")</f>
        <v>http://enext.ua/s035051</v>
      </c>
    </row>
    <row r="6833" spans="2:7" ht="11.25" outlineLevel="4" x14ac:dyDescent="0.2">
      <c r="B6833" s="14" t="s">
        <v>12886</v>
      </c>
      <c r="C6833" s="14" t="s">
        <v>12887</v>
      </c>
      <c r="D6833" s="14">
        <v>8</v>
      </c>
      <c r="E6833" s="15">
        <v>60.02</v>
      </c>
      <c r="F6833" s="16" t="s">
        <v>8</v>
      </c>
      <c r="G6833" s="38" t="str">
        <f>HYPERLINK("http://enext.ua/s035052")</f>
        <v>http://enext.ua/s035052</v>
      </c>
    </row>
    <row r="6834" spans="2:7" ht="11.25" outlineLevel="4" x14ac:dyDescent="0.2">
      <c r="B6834" s="14" t="s">
        <v>12888</v>
      </c>
      <c r="C6834" s="14" t="s">
        <v>12889</v>
      </c>
      <c r="D6834" s="14">
        <v>8</v>
      </c>
      <c r="E6834" s="15">
        <v>54.56</v>
      </c>
      <c r="F6834" s="16" t="s">
        <v>8</v>
      </c>
      <c r="G6834" s="38" t="str">
        <f>HYPERLINK("http://enext.ua/s035053")</f>
        <v>http://enext.ua/s035053</v>
      </c>
    </row>
    <row r="6835" spans="2:7" ht="11.25" outlineLevel="4" x14ac:dyDescent="0.2">
      <c r="B6835" s="14" t="s">
        <v>12890</v>
      </c>
      <c r="C6835" s="14" t="s">
        <v>12891</v>
      </c>
      <c r="D6835" s="14">
        <v>8</v>
      </c>
      <c r="E6835" s="15">
        <v>60.85</v>
      </c>
      <c r="F6835" s="16" t="s">
        <v>8</v>
      </c>
      <c r="G6835" s="38" t="str">
        <f>HYPERLINK("http://enext.ua/s035054")</f>
        <v>http://enext.ua/s035054</v>
      </c>
    </row>
    <row r="6836" spans="2:7" ht="11.25" outlineLevel="4" x14ac:dyDescent="0.2">
      <c r="B6836" s="14" t="s">
        <v>12892</v>
      </c>
      <c r="C6836" s="14" t="s">
        <v>12893</v>
      </c>
      <c r="D6836" s="14">
        <v>8</v>
      </c>
      <c r="E6836" s="15">
        <v>62.52</v>
      </c>
      <c r="F6836" s="16" t="s">
        <v>8</v>
      </c>
      <c r="G6836" s="38" t="str">
        <f>HYPERLINK("http://enext.ua/s035056")</f>
        <v>http://enext.ua/s035056</v>
      </c>
    </row>
    <row r="6837" spans="2:7" ht="11.25" outlineLevel="4" x14ac:dyDescent="0.2">
      <c r="B6837" s="14" t="s">
        <v>12894</v>
      </c>
      <c r="C6837" s="14" t="s">
        <v>12895</v>
      </c>
      <c r="D6837" s="14">
        <v>5</v>
      </c>
      <c r="E6837" s="15">
        <v>119.95</v>
      </c>
      <c r="F6837" s="16" t="s">
        <v>8</v>
      </c>
      <c r="G6837" s="38" t="str">
        <f>HYPERLINK("http://enext.ua/s035057")</f>
        <v>http://enext.ua/s035057</v>
      </c>
    </row>
    <row r="6838" spans="2:7" ht="11.25" outlineLevel="4" x14ac:dyDescent="0.2">
      <c r="B6838" s="14" t="s">
        <v>12896</v>
      </c>
      <c r="C6838" s="14" t="s">
        <v>12897</v>
      </c>
      <c r="D6838" s="14">
        <v>5</v>
      </c>
      <c r="E6838" s="15">
        <v>103.07</v>
      </c>
      <c r="F6838" s="16" t="s">
        <v>8</v>
      </c>
      <c r="G6838" s="38" t="str">
        <f>HYPERLINK("http://enext.ua/s035055")</f>
        <v>http://enext.ua/s035055</v>
      </c>
    </row>
    <row r="6839" spans="2:7" ht="12" outlineLevel="3" x14ac:dyDescent="0.2">
      <c r="B6839" s="10"/>
      <c r="C6839" s="36" t="s">
        <v>12898</v>
      </c>
      <c r="D6839" s="10"/>
      <c r="E6839" s="11"/>
      <c r="F6839" s="11"/>
      <c r="G6839" s="10"/>
    </row>
    <row r="6840" spans="2:7" ht="11.25" outlineLevel="4" x14ac:dyDescent="0.2">
      <c r="B6840" s="14" t="s">
        <v>12899</v>
      </c>
      <c r="C6840" s="14" t="s">
        <v>12900</v>
      </c>
      <c r="D6840" s="14">
        <v>10</v>
      </c>
      <c r="E6840" s="15">
        <v>42.45</v>
      </c>
      <c r="F6840" s="16" t="s">
        <v>8</v>
      </c>
      <c r="G6840" s="38" t="str">
        <f>HYPERLINK("http://enext.ua/s035026")</f>
        <v>http://enext.ua/s035026</v>
      </c>
    </row>
    <row r="6841" spans="2:7" ht="11.25" outlineLevel="4" x14ac:dyDescent="0.2">
      <c r="B6841" s="14" t="s">
        <v>12901</v>
      </c>
      <c r="C6841" s="14" t="s">
        <v>12902</v>
      </c>
      <c r="D6841" s="14">
        <v>7</v>
      </c>
      <c r="E6841" s="15">
        <v>51.98</v>
      </c>
      <c r="F6841" s="16" t="s">
        <v>8</v>
      </c>
      <c r="G6841" s="38" t="str">
        <f>HYPERLINK("http://enext.ua/s035037")</f>
        <v>http://enext.ua/s035037</v>
      </c>
    </row>
    <row r="6842" spans="2:7" ht="11.25" outlineLevel="4" x14ac:dyDescent="0.2">
      <c r="B6842" s="14" t="s">
        <v>12903</v>
      </c>
      <c r="C6842" s="14" t="s">
        <v>12904</v>
      </c>
      <c r="D6842" s="14">
        <v>6</v>
      </c>
      <c r="E6842" s="15">
        <v>64.680000000000007</v>
      </c>
      <c r="F6842" s="16" t="s">
        <v>8</v>
      </c>
      <c r="G6842" s="38" t="str">
        <f>HYPERLINK("http://enext.ua/s035036")</f>
        <v>http://enext.ua/s035036</v>
      </c>
    </row>
    <row r="6843" spans="2:7" ht="11.25" outlineLevel="4" x14ac:dyDescent="0.2">
      <c r="B6843" s="14" t="s">
        <v>12905</v>
      </c>
      <c r="C6843" s="14" t="s">
        <v>12906</v>
      </c>
      <c r="D6843" s="14">
        <v>10</v>
      </c>
      <c r="E6843" s="15">
        <v>54.58</v>
      </c>
      <c r="F6843" s="16" t="s">
        <v>8</v>
      </c>
      <c r="G6843" s="38" t="str">
        <f>HYPERLINK("http://enext.ua/s035028")</f>
        <v>http://enext.ua/s035028</v>
      </c>
    </row>
    <row r="6844" spans="2:7" ht="11.25" outlineLevel="4" x14ac:dyDescent="0.2">
      <c r="B6844" s="14" t="s">
        <v>12907</v>
      </c>
      <c r="C6844" s="14" t="s">
        <v>12908</v>
      </c>
      <c r="D6844" s="14">
        <v>1</v>
      </c>
      <c r="E6844" s="15">
        <v>43.03</v>
      </c>
      <c r="F6844" s="16" t="s">
        <v>8</v>
      </c>
      <c r="G6844" s="38" t="str">
        <f>HYPERLINK("http://enext.ua/s035021")</f>
        <v>http://enext.ua/s035021</v>
      </c>
    </row>
    <row r="6845" spans="2:7" ht="11.25" outlineLevel="4" x14ac:dyDescent="0.2">
      <c r="B6845" s="14" t="s">
        <v>12909</v>
      </c>
      <c r="C6845" s="14" t="s">
        <v>12910</v>
      </c>
      <c r="D6845" s="14">
        <v>8</v>
      </c>
      <c r="E6845" s="15">
        <v>37.83</v>
      </c>
      <c r="F6845" s="16" t="s">
        <v>8</v>
      </c>
      <c r="G6845" s="38" t="str">
        <f>HYPERLINK("http://enext.ua/s035022")</f>
        <v>http://enext.ua/s035022</v>
      </c>
    </row>
    <row r="6846" spans="2:7" ht="11.25" outlineLevel="4" x14ac:dyDescent="0.2">
      <c r="B6846" s="14" t="s">
        <v>12911</v>
      </c>
      <c r="C6846" s="14" t="s">
        <v>12912</v>
      </c>
      <c r="D6846" s="14">
        <v>10</v>
      </c>
      <c r="E6846" s="15">
        <v>45.62</v>
      </c>
      <c r="F6846" s="16" t="s">
        <v>8</v>
      </c>
      <c r="G6846" s="38" t="str">
        <f>HYPERLINK("http://enext.ua/s035024")</f>
        <v>http://enext.ua/s035024</v>
      </c>
    </row>
    <row r="6847" spans="2:7" ht="11.25" outlineLevel="4" x14ac:dyDescent="0.2">
      <c r="B6847" s="14" t="s">
        <v>12913</v>
      </c>
      <c r="C6847" s="14" t="s">
        <v>12914</v>
      </c>
      <c r="D6847" s="14">
        <v>10</v>
      </c>
      <c r="E6847" s="15">
        <v>46.78</v>
      </c>
      <c r="F6847" s="16" t="s">
        <v>8</v>
      </c>
      <c r="G6847" s="38" t="str">
        <f>HYPERLINK("http://enext.ua/s035019")</f>
        <v>http://enext.ua/s035019</v>
      </c>
    </row>
    <row r="6848" spans="2:7" ht="11.25" outlineLevel="4" x14ac:dyDescent="0.2">
      <c r="B6848" s="14" t="s">
        <v>12915</v>
      </c>
      <c r="C6848" s="14" t="s">
        <v>12916</v>
      </c>
      <c r="D6848" s="14">
        <v>10</v>
      </c>
      <c r="E6848" s="15">
        <v>48.66</v>
      </c>
      <c r="F6848" s="16" t="s">
        <v>8</v>
      </c>
      <c r="G6848" s="14"/>
    </row>
    <row r="6849" spans="2:7" ht="11.25" outlineLevel="4" x14ac:dyDescent="0.2">
      <c r="B6849" s="14" t="s">
        <v>12917</v>
      </c>
      <c r="C6849" s="14" t="s">
        <v>12918</v>
      </c>
      <c r="D6849" s="14">
        <v>10</v>
      </c>
      <c r="E6849" s="15">
        <v>45.05</v>
      </c>
      <c r="F6849" s="16" t="s">
        <v>8</v>
      </c>
      <c r="G6849" s="38" t="str">
        <f>HYPERLINK("http://enext.ua/s035023")</f>
        <v>http://enext.ua/s035023</v>
      </c>
    </row>
    <row r="6850" spans="2:7" ht="11.25" outlineLevel="4" x14ac:dyDescent="0.2">
      <c r="B6850" s="14" t="s">
        <v>12919</v>
      </c>
      <c r="C6850" s="14" t="s">
        <v>12920</v>
      </c>
      <c r="D6850" s="14">
        <v>1</v>
      </c>
      <c r="E6850" s="15">
        <v>63.53</v>
      </c>
      <c r="F6850" s="16" t="s">
        <v>8</v>
      </c>
      <c r="G6850" s="38" t="str">
        <f>HYPERLINK("http://enext.ua/s035020")</f>
        <v>http://enext.ua/s035020</v>
      </c>
    </row>
    <row r="6851" spans="2:7" ht="11.25" outlineLevel="4" x14ac:dyDescent="0.2">
      <c r="B6851" s="14" t="s">
        <v>12921</v>
      </c>
      <c r="C6851" s="14" t="s">
        <v>12922</v>
      </c>
      <c r="D6851" s="14">
        <v>10</v>
      </c>
      <c r="E6851" s="15">
        <v>39.85</v>
      </c>
      <c r="F6851" s="16" t="s">
        <v>8</v>
      </c>
      <c r="G6851" s="38" t="str">
        <f>HYPERLINK("http://enext.ua/s035027")</f>
        <v>http://enext.ua/s035027</v>
      </c>
    </row>
    <row r="6852" spans="2:7" ht="11.25" outlineLevel="4" x14ac:dyDescent="0.2">
      <c r="B6852" s="14" t="s">
        <v>12923</v>
      </c>
      <c r="C6852" s="14" t="s">
        <v>12924</v>
      </c>
      <c r="D6852" s="14">
        <v>1</v>
      </c>
      <c r="E6852" s="15">
        <v>52.55</v>
      </c>
      <c r="F6852" s="16" t="s">
        <v>8</v>
      </c>
      <c r="G6852" s="38" t="str">
        <f>HYPERLINK("http://enext.ua/s035030")</f>
        <v>http://enext.ua/s035030</v>
      </c>
    </row>
    <row r="6853" spans="2:7" ht="11.25" outlineLevel="4" x14ac:dyDescent="0.2">
      <c r="B6853" s="14" t="s">
        <v>12925</v>
      </c>
      <c r="C6853" s="14" t="s">
        <v>12926</v>
      </c>
      <c r="D6853" s="14">
        <v>1</v>
      </c>
      <c r="E6853" s="15">
        <v>50.54</v>
      </c>
      <c r="F6853" s="16" t="s">
        <v>8</v>
      </c>
      <c r="G6853" s="38" t="str">
        <f>HYPERLINK("http://enext.ua/s035029")</f>
        <v>http://enext.ua/s035029</v>
      </c>
    </row>
    <row r="6854" spans="2:7" ht="11.25" outlineLevel="4" x14ac:dyDescent="0.2">
      <c r="B6854" s="14" t="s">
        <v>12927</v>
      </c>
      <c r="C6854" s="14" t="s">
        <v>12928</v>
      </c>
      <c r="D6854" s="14">
        <v>1</v>
      </c>
      <c r="E6854" s="15">
        <v>174.41</v>
      </c>
      <c r="F6854" s="16" t="s">
        <v>8</v>
      </c>
      <c r="G6854" s="38" t="str">
        <f>HYPERLINK("http://enext.ua/s035034")</f>
        <v>http://enext.ua/s035034</v>
      </c>
    </row>
    <row r="6855" spans="2:7" ht="11.25" outlineLevel="4" x14ac:dyDescent="0.2">
      <c r="B6855" s="14" t="s">
        <v>12929</v>
      </c>
      <c r="C6855" s="14" t="s">
        <v>12930</v>
      </c>
      <c r="D6855" s="14">
        <v>10</v>
      </c>
      <c r="E6855" s="15">
        <v>91.25</v>
      </c>
      <c r="F6855" s="16" t="s">
        <v>8</v>
      </c>
      <c r="G6855" s="38" t="str">
        <f>HYPERLINK("http://enext.ua/s035032")</f>
        <v>http://enext.ua/s035032</v>
      </c>
    </row>
    <row r="6856" spans="2:7" ht="11.25" outlineLevel="4" x14ac:dyDescent="0.2">
      <c r="B6856" s="14" t="s">
        <v>12931</v>
      </c>
      <c r="C6856" s="14" t="s">
        <v>12932</v>
      </c>
      <c r="D6856" s="14">
        <v>1</v>
      </c>
      <c r="E6856" s="15">
        <v>154.99</v>
      </c>
      <c r="F6856" s="16" t="s">
        <v>8</v>
      </c>
      <c r="G6856" s="38" t="str">
        <f>HYPERLINK("http://enext.ua/s035033")</f>
        <v>http://enext.ua/s035033</v>
      </c>
    </row>
    <row r="6857" spans="2:7" ht="11.25" outlineLevel="4" x14ac:dyDescent="0.2">
      <c r="B6857" s="14" t="s">
        <v>12933</v>
      </c>
      <c r="C6857" s="14" t="s">
        <v>12934</v>
      </c>
      <c r="D6857" s="14">
        <v>20</v>
      </c>
      <c r="E6857" s="15">
        <v>23.68</v>
      </c>
      <c r="F6857" s="16" t="s">
        <v>8</v>
      </c>
      <c r="G6857" s="38" t="str">
        <f>HYPERLINK("http://enext.ua/ins0050002")</f>
        <v>http://enext.ua/ins0050002</v>
      </c>
    </row>
    <row r="6858" spans="2:7" ht="11.25" outlineLevel="4" x14ac:dyDescent="0.2">
      <c r="B6858" s="14" t="s">
        <v>12935</v>
      </c>
      <c r="C6858" s="14" t="s">
        <v>12936</v>
      </c>
      <c r="D6858" s="14">
        <v>10</v>
      </c>
      <c r="E6858" s="15">
        <v>32.06</v>
      </c>
      <c r="F6858" s="16" t="s">
        <v>8</v>
      </c>
      <c r="G6858" s="38" t="str">
        <f>HYPERLINK("http://enext.ua/ins0050003")</f>
        <v>http://enext.ua/ins0050003</v>
      </c>
    </row>
    <row r="6859" spans="2:7" ht="11.25" outlineLevel="4" x14ac:dyDescent="0.2">
      <c r="B6859" s="14" t="s">
        <v>12937</v>
      </c>
      <c r="C6859" s="14" t="s">
        <v>12938</v>
      </c>
      <c r="D6859" s="14">
        <v>10</v>
      </c>
      <c r="E6859" s="15">
        <v>47.65</v>
      </c>
      <c r="F6859" s="16" t="s">
        <v>8</v>
      </c>
      <c r="G6859" s="38" t="str">
        <f>HYPERLINK("http://enext.ua/ins0050004")</f>
        <v>http://enext.ua/ins0050004</v>
      </c>
    </row>
    <row r="6860" spans="2:7" ht="12" outlineLevel="3" x14ac:dyDescent="0.2">
      <c r="B6860" s="10"/>
      <c r="C6860" s="36" t="s">
        <v>12939</v>
      </c>
      <c r="D6860" s="10"/>
      <c r="E6860" s="11"/>
      <c r="F6860" s="11"/>
      <c r="G6860" s="10"/>
    </row>
    <row r="6861" spans="2:7" ht="11.25" outlineLevel="4" x14ac:dyDescent="0.2">
      <c r="B6861" s="14" t="s">
        <v>12940</v>
      </c>
      <c r="C6861" s="14" t="s">
        <v>12941</v>
      </c>
      <c r="D6861" s="14">
        <v>10</v>
      </c>
      <c r="E6861" s="15">
        <v>28.88</v>
      </c>
      <c r="F6861" s="16" t="s">
        <v>8</v>
      </c>
      <c r="G6861" s="38" t="str">
        <f>HYPERLINK("http://enext.ua/s035004")</f>
        <v>http://enext.ua/s035004</v>
      </c>
    </row>
    <row r="6862" spans="2:7" ht="11.25" outlineLevel="4" x14ac:dyDescent="0.2">
      <c r="B6862" s="14" t="s">
        <v>12942</v>
      </c>
      <c r="C6862" s="14" t="s">
        <v>12943</v>
      </c>
      <c r="D6862" s="14">
        <v>10</v>
      </c>
      <c r="E6862" s="15">
        <v>27.75</v>
      </c>
      <c r="F6862" s="16" t="s">
        <v>8</v>
      </c>
      <c r="G6862" s="38" t="str">
        <f>HYPERLINK("http://enext.ua/s035003")</f>
        <v>http://enext.ua/s035003</v>
      </c>
    </row>
    <row r="6863" spans="2:7" ht="11.25" outlineLevel="4" x14ac:dyDescent="0.2">
      <c r="B6863" s="14" t="s">
        <v>12944</v>
      </c>
      <c r="C6863" s="14" t="s">
        <v>12945</v>
      </c>
      <c r="D6863" s="14">
        <v>10</v>
      </c>
      <c r="E6863" s="15">
        <v>19.27</v>
      </c>
      <c r="F6863" s="16" t="s">
        <v>8</v>
      </c>
      <c r="G6863" s="38" t="str">
        <f>HYPERLINK("http://enext.ua/s035006")</f>
        <v>http://enext.ua/s035006</v>
      </c>
    </row>
    <row r="6864" spans="2:7" ht="11.25" outlineLevel="4" x14ac:dyDescent="0.2">
      <c r="B6864" s="14" t="s">
        <v>12946</v>
      </c>
      <c r="C6864" s="14" t="s">
        <v>12947</v>
      </c>
      <c r="D6864" s="14">
        <v>10</v>
      </c>
      <c r="E6864" s="15">
        <v>28.33</v>
      </c>
      <c r="F6864" s="16" t="s">
        <v>8</v>
      </c>
      <c r="G6864" s="38" t="str">
        <f>HYPERLINK("http://enext.ua/s035001")</f>
        <v>http://enext.ua/s035001</v>
      </c>
    </row>
    <row r="6865" spans="2:7" ht="11.25" outlineLevel="4" x14ac:dyDescent="0.2">
      <c r="B6865" s="14" t="s">
        <v>12948</v>
      </c>
      <c r="C6865" s="14" t="s">
        <v>12949</v>
      </c>
      <c r="D6865" s="14">
        <v>10</v>
      </c>
      <c r="E6865" s="15">
        <v>32.380000000000003</v>
      </c>
      <c r="F6865" s="16" t="s">
        <v>8</v>
      </c>
      <c r="G6865" s="38" t="str">
        <f>HYPERLINK("http://enext.ua/s035005")</f>
        <v>http://enext.ua/s035005</v>
      </c>
    </row>
    <row r="6866" spans="2:7" ht="11.25" outlineLevel="4" x14ac:dyDescent="0.2">
      <c r="B6866" s="14" t="s">
        <v>12950</v>
      </c>
      <c r="C6866" s="14" t="s">
        <v>12951</v>
      </c>
      <c r="D6866" s="14">
        <v>1</v>
      </c>
      <c r="E6866" s="15">
        <v>46.25</v>
      </c>
      <c r="F6866" s="16" t="s">
        <v>8</v>
      </c>
      <c r="G6866" s="38" t="str">
        <f>HYPERLINK("http://enext.ua/s035041c")</f>
        <v>http://enext.ua/s035041c</v>
      </c>
    </row>
    <row r="6867" spans="2:7" ht="11.25" outlineLevel="4" x14ac:dyDescent="0.2">
      <c r="B6867" s="14" t="s">
        <v>12952</v>
      </c>
      <c r="C6867" s="14" t="s">
        <v>12953</v>
      </c>
      <c r="D6867" s="14">
        <v>10</v>
      </c>
      <c r="E6867" s="15">
        <v>20.239999999999998</v>
      </c>
      <c r="F6867" s="16" t="s">
        <v>8</v>
      </c>
      <c r="G6867" s="38" t="str">
        <f>HYPERLINK("http://enext.ua/s035009")</f>
        <v>http://enext.ua/s035009</v>
      </c>
    </row>
    <row r="6868" spans="2:7" ht="11.25" outlineLevel="4" x14ac:dyDescent="0.2">
      <c r="B6868" s="14" t="s">
        <v>12954</v>
      </c>
      <c r="C6868" s="14" t="s">
        <v>12955</v>
      </c>
      <c r="D6868" s="14">
        <v>1</v>
      </c>
      <c r="E6868" s="15">
        <v>28.33</v>
      </c>
      <c r="F6868" s="16" t="s">
        <v>8</v>
      </c>
      <c r="G6868" s="38" t="str">
        <f>HYPERLINK("http://enext.ua/s035043c")</f>
        <v>http://enext.ua/s035043c</v>
      </c>
    </row>
    <row r="6869" spans="2:7" ht="11.25" outlineLevel="4" x14ac:dyDescent="0.2">
      <c r="B6869" s="14" t="s">
        <v>12956</v>
      </c>
      <c r="C6869" s="14" t="s">
        <v>12957</v>
      </c>
      <c r="D6869" s="14">
        <v>1</v>
      </c>
      <c r="E6869" s="15">
        <v>41.48</v>
      </c>
      <c r="F6869" s="16" t="s">
        <v>8</v>
      </c>
      <c r="G6869" s="38" t="str">
        <f>HYPERLINK("http://enext.ua/s035031")</f>
        <v>http://enext.ua/s035031</v>
      </c>
    </row>
    <row r="6870" spans="2:7" ht="11.25" outlineLevel="4" x14ac:dyDescent="0.2">
      <c r="B6870" s="14" t="s">
        <v>12958</v>
      </c>
      <c r="C6870" s="14" t="s">
        <v>12959</v>
      </c>
      <c r="D6870" s="14">
        <v>1</v>
      </c>
      <c r="E6870" s="15">
        <v>23.85</v>
      </c>
      <c r="F6870" s="16" t="s">
        <v>8</v>
      </c>
      <c r="G6870" s="38" t="str">
        <f>HYPERLINK("http://enext.ua/s035044c")</f>
        <v>http://enext.ua/s035044c</v>
      </c>
    </row>
    <row r="6871" spans="2:7" ht="11.25" outlineLevel="4" x14ac:dyDescent="0.2">
      <c r="B6871" s="14" t="s">
        <v>12960</v>
      </c>
      <c r="C6871" s="14" t="s">
        <v>12961</v>
      </c>
      <c r="D6871" s="14">
        <v>8</v>
      </c>
      <c r="E6871" s="15">
        <v>115.88</v>
      </c>
      <c r="F6871" s="16" t="s">
        <v>8</v>
      </c>
      <c r="G6871" s="38" t="str">
        <f>HYPERLINK("http://enext.ua/s035017")</f>
        <v>http://enext.ua/s035017</v>
      </c>
    </row>
    <row r="6872" spans="2:7" ht="11.25" outlineLevel="4" x14ac:dyDescent="0.2">
      <c r="B6872" s="14" t="s">
        <v>12962</v>
      </c>
      <c r="C6872" s="14" t="s">
        <v>12963</v>
      </c>
      <c r="D6872" s="14">
        <v>10</v>
      </c>
      <c r="E6872" s="15">
        <v>97.13</v>
      </c>
      <c r="F6872" s="16" t="s">
        <v>8</v>
      </c>
      <c r="G6872" s="38" t="str">
        <f>HYPERLINK("http://enext.ua/s035016")</f>
        <v>http://enext.ua/s035016</v>
      </c>
    </row>
    <row r="6873" spans="2:7" ht="11.25" outlineLevel="4" x14ac:dyDescent="0.2">
      <c r="B6873" s="14" t="s">
        <v>12964</v>
      </c>
      <c r="C6873" s="14" t="s">
        <v>12965</v>
      </c>
      <c r="D6873" s="14">
        <v>1</v>
      </c>
      <c r="E6873" s="15">
        <v>6.05</v>
      </c>
      <c r="F6873" s="16" t="s">
        <v>8</v>
      </c>
      <c r="G6873" s="38" t="str">
        <f>HYPERLINK("http://enext.ua/ins0050001")</f>
        <v>http://enext.ua/ins0050001</v>
      </c>
    </row>
    <row r="6874" spans="2:7" ht="11.25" outlineLevel="4" x14ac:dyDescent="0.2">
      <c r="B6874" s="14" t="s">
        <v>12966</v>
      </c>
      <c r="C6874" s="14" t="s">
        <v>12967</v>
      </c>
      <c r="D6874" s="14">
        <v>1</v>
      </c>
      <c r="E6874" s="15">
        <v>10.99</v>
      </c>
      <c r="F6874" s="16" t="s">
        <v>8</v>
      </c>
      <c r="G6874" s="38" t="str">
        <f>HYPERLINK("http://enext.ua/s035047c")</f>
        <v>http://enext.ua/s035047c</v>
      </c>
    </row>
    <row r="6875" spans="2:7" ht="11.25" outlineLevel="4" x14ac:dyDescent="0.2">
      <c r="B6875" s="14" t="s">
        <v>12968</v>
      </c>
      <c r="C6875" s="14" t="s">
        <v>12969</v>
      </c>
      <c r="D6875" s="14">
        <v>1</v>
      </c>
      <c r="E6875" s="15">
        <v>17.350000000000001</v>
      </c>
      <c r="F6875" s="16" t="s">
        <v>8</v>
      </c>
      <c r="G6875" s="38" t="str">
        <f>HYPERLINK("http://enext.ua/s035048c")</f>
        <v>http://enext.ua/s035048c</v>
      </c>
    </row>
    <row r="6876" spans="2:7" ht="11.25" outlineLevel="4" x14ac:dyDescent="0.2">
      <c r="B6876" s="14" t="s">
        <v>12970</v>
      </c>
      <c r="C6876" s="14" t="s">
        <v>12971</v>
      </c>
      <c r="D6876" s="14">
        <v>1</v>
      </c>
      <c r="E6876" s="15">
        <v>21.39</v>
      </c>
      <c r="F6876" s="16" t="s">
        <v>8</v>
      </c>
      <c r="G6876" s="38" t="str">
        <f>HYPERLINK("http://enext.ua/s035049c")</f>
        <v>http://enext.ua/s035049c</v>
      </c>
    </row>
    <row r="6877" spans="2:7" ht="12" outlineLevel="3" x14ac:dyDescent="0.2">
      <c r="B6877" s="10"/>
      <c r="C6877" s="36" t="s">
        <v>12972</v>
      </c>
      <c r="D6877" s="10"/>
      <c r="E6877" s="11"/>
      <c r="F6877" s="11"/>
      <c r="G6877" s="10"/>
    </row>
    <row r="6878" spans="2:7" ht="12" outlineLevel="4" x14ac:dyDescent="0.2">
      <c r="B6878" s="12"/>
      <c r="C6878" s="37" t="s">
        <v>12973</v>
      </c>
      <c r="D6878" s="12"/>
      <c r="E6878" s="13"/>
      <c r="F6878" s="13"/>
      <c r="G6878" s="12"/>
    </row>
    <row r="6879" spans="2:7" ht="12" outlineLevel="5" x14ac:dyDescent="0.2">
      <c r="B6879" s="18"/>
      <c r="C6879" s="39" t="s">
        <v>12974</v>
      </c>
      <c r="D6879" s="18"/>
      <c r="E6879" s="19"/>
      <c r="F6879" s="19"/>
      <c r="G6879" s="18"/>
    </row>
    <row r="6880" spans="2:7" ht="11.25" outlineLevel="6" x14ac:dyDescent="0.2">
      <c r="B6880" s="14" t="s">
        <v>12975</v>
      </c>
      <c r="C6880" s="14" t="s">
        <v>12976</v>
      </c>
      <c r="D6880" s="14">
        <v>1</v>
      </c>
      <c r="E6880" s="15">
        <v>41</v>
      </c>
      <c r="F6880" s="16" t="s">
        <v>8</v>
      </c>
      <c r="G6880" s="38" t="str">
        <f>HYPERLINK("http://enext.ua/ins0040094")</f>
        <v>http://enext.ua/ins0040094</v>
      </c>
    </row>
    <row r="6881" spans="2:7" ht="11.25" outlineLevel="6" x14ac:dyDescent="0.2">
      <c r="B6881" s="14" t="s">
        <v>12977</v>
      </c>
      <c r="C6881" s="14" t="s">
        <v>12978</v>
      </c>
      <c r="D6881" s="14">
        <v>40</v>
      </c>
      <c r="E6881" s="15">
        <v>25.31</v>
      </c>
      <c r="F6881" s="16" t="s">
        <v>8</v>
      </c>
      <c r="G6881" s="38" t="str">
        <f>HYPERLINK("http://enext.ua/ins0040012")</f>
        <v>http://enext.ua/ins0040012</v>
      </c>
    </row>
    <row r="6882" spans="2:7" ht="11.25" outlineLevel="6" x14ac:dyDescent="0.2">
      <c r="B6882" s="14" t="s">
        <v>12979</v>
      </c>
      <c r="C6882" s="14" t="s">
        <v>12980</v>
      </c>
      <c r="D6882" s="14">
        <v>20</v>
      </c>
      <c r="E6882" s="15">
        <v>26.58</v>
      </c>
      <c r="F6882" s="16" t="s">
        <v>8</v>
      </c>
      <c r="G6882" s="14"/>
    </row>
    <row r="6883" spans="2:7" ht="11.25" outlineLevel="6" x14ac:dyDescent="0.2">
      <c r="B6883" s="14" t="s">
        <v>12981</v>
      </c>
      <c r="C6883" s="14" t="s">
        <v>12982</v>
      </c>
      <c r="D6883" s="14">
        <v>40</v>
      </c>
      <c r="E6883" s="15">
        <v>25.31</v>
      </c>
      <c r="F6883" s="16" t="s">
        <v>8</v>
      </c>
      <c r="G6883" s="14"/>
    </row>
    <row r="6884" spans="2:7" ht="11.25" outlineLevel="6" x14ac:dyDescent="0.2">
      <c r="B6884" s="14" t="s">
        <v>12983</v>
      </c>
      <c r="C6884" s="14" t="s">
        <v>12984</v>
      </c>
      <c r="D6884" s="14">
        <v>20</v>
      </c>
      <c r="E6884" s="15">
        <v>5.99</v>
      </c>
      <c r="F6884" s="16" t="s">
        <v>8</v>
      </c>
      <c r="G6884" s="14"/>
    </row>
    <row r="6885" spans="2:7" ht="11.25" outlineLevel="6" x14ac:dyDescent="0.2">
      <c r="B6885" s="14" t="s">
        <v>12985</v>
      </c>
      <c r="C6885" s="14" t="s">
        <v>12986</v>
      </c>
      <c r="D6885" s="14">
        <v>40</v>
      </c>
      <c r="E6885" s="15">
        <v>5.7</v>
      </c>
      <c r="F6885" s="16" t="s">
        <v>8</v>
      </c>
      <c r="G6885" s="14"/>
    </row>
    <row r="6886" spans="2:7" ht="11.25" outlineLevel="6" x14ac:dyDescent="0.2">
      <c r="B6886" s="14" t="s">
        <v>12987</v>
      </c>
      <c r="C6886" s="14" t="s">
        <v>12988</v>
      </c>
      <c r="D6886" s="14">
        <v>40</v>
      </c>
      <c r="E6886" s="15">
        <v>25.31</v>
      </c>
      <c r="F6886" s="16" t="s">
        <v>8</v>
      </c>
      <c r="G6886" s="38" t="str">
        <f>HYPERLINK("http://enext.ua/ins0040011")</f>
        <v>http://enext.ua/ins0040011</v>
      </c>
    </row>
    <row r="6887" spans="2:7" ht="11.25" outlineLevel="6" x14ac:dyDescent="0.2">
      <c r="B6887" s="14" t="s">
        <v>12989</v>
      </c>
      <c r="C6887" s="14" t="s">
        <v>12990</v>
      </c>
      <c r="D6887" s="14">
        <v>40</v>
      </c>
      <c r="E6887" s="15">
        <v>26.58</v>
      </c>
      <c r="F6887" s="16" t="s">
        <v>8</v>
      </c>
      <c r="G6887" s="14"/>
    </row>
    <row r="6888" spans="2:7" ht="11.25" outlineLevel="6" x14ac:dyDescent="0.2">
      <c r="B6888" s="14" t="s">
        <v>12991</v>
      </c>
      <c r="C6888" s="14" t="s">
        <v>12992</v>
      </c>
      <c r="D6888" s="14">
        <v>40</v>
      </c>
      <c r="E6888" s="15">
        <v>25.31</v>
      </c>
      <c r="F6888" s="16" t="s">
        <v>8</v>
      </c>
      <c r="G6888" s="14"/>
    </row>
    <row r="6889" spans="2:7" ht="11.25" outlineLevel="6" x14ac:dyDescent="0.2">
      <c r="B6889" s="14" t="s">
        <v>12993</v>
      </c>
      <c r="C6889" s="14" t="s">
        <v>12994</v>
      </c>
      <c r="D6889" s="14">
        <v>40</v>
      </c>
      <c r="E6889" s="15">
        <v>3.74</v>
      </c>
      <c r="F6889" s="16" t="s">
        <v>8</v>
      </c>
      <c r="G6889" s="14"/>
    </row>
    <row r="6890" spans="2:7" ht="11.25" outlineLevel="6" x14ac:dyDescent="0.2">
      <c r="B6890" s="14" t="s">
        <v>12995</v>
      </c>
      <c r="C6890" s="14" t="s">
        <v>12996</v>
      </c>
      <c r="D6890" s="14">
        <v>40</v>
      </c>
      <c r="E6890" s="15">
        <v>3.57</v>
      </c>
      <c r="F6890" s="16" t="s">
        <v>8</v>
      </c>
      <c r="G6890" s="14"/>
    </row>
    <row r="6891" spans="2:7" ht="12" outlineLevel="5" x14ac:dyDescent="0.2">
      <c r="B6891" s="18"/>
      <c r="C6891" s="39" t="s">
        <v>12997</v>
      </c>
      <c r="D6891" s="18"/>
      <c r="E6891" s="19"/>
      <c r="F6891" s="19"/>
      <c r="G6891" s="18"/>
    </row>
    <row r="6892" spans="2:7" ht="11.25" outlineLevel="6" x14ac:dyDescent="0.2">
      <c r="B6892" s="14" t="s">
        <v>12998</v>
      </c>
      <c r="C6892" s="14" t="s">
        <v>12999</v>
      </c>
      <c r="D6892" s="14">
        <v>1</v>
      </c>
      <c r="E6892" s="15">
        <v>41</v>
      </c>
      <c r="F6892" s="16" t="s">
        <v>8</v>
      </c>
      <c r="G6892" s="38" t="str">
        <f>HYPERLINK("http://enext.ua/ins0040095")</f>
        <v>http://enext.ua/ins0040095</v>
      </c>
    </row>
    <row r="6893" spans="2:7" ht="11.25" outlineLevel="6" x14ac:dyDescent="0.2">
      <c r="B6893" s="14" t="s">
        <v>13000</v>
      </c>
      <c r="C6893" s="14" t="s">
        <v>13001</v>
      </c>
      <c r="D6893" s="14">
        <v>40</v>
      </c>
      <c r="E6893" s="15">
        <v>25.31</v>
      </c>
      <c r="F6893" s="16" t="s">
        <v>8</v>
      </c>
      <c r="G6893" s="38" t="str">
        <f>HYPERLINK("http://enext.ua/ins0040016")</f>
        <v>http://enext.ua/ins0040016</v>
      </c>
    </row>
    <row r="6894" spans="2:7" ht="22.5" outlineLevel="6" x14ac:dyDescent="0.2">
      <c r="B6894" s="14" t="s">
        <v>13002</v>
      </c>
      <c r="C6894" s="14" t="s">
        <v>13003</v>
      </c>
      <c r="D6894" s="14">
        <v>40</v>
      </c>
      <c r="E6894" s="15">
        <v>26.58</v>
      </c>
      <c r="F6894" s="16" t="s">
        <v>8</v>
      </c>
      <c r="G6894" s="14"/>
    </row>
    <row r="6895" spans="2:7" ht="22.5" outlineLevel="6" x14ac:dyDescent="0.2">
      <c r="B6895" s="14" t="s">
        <v>13004</v>
      </c>
      <c r="C6895" s="14" t="s">
        <v>13005</v>
      </c>
      <c r="D6895" s="14">
        <v>40</v>
      </c>
      <c r="E6895" s="15">
        <v>25.31</v>
      </c>
      <c r="F6895" s="16" t="s">
        <v>8</v>
      </c>
      <c r="G6895" s="14"/>
    </row>
    <row r="6896" spans="2:7" ht="11.25" outlineLevel="6" x14ac:dyDescent="0.2">
      <c r="B6896" s="14" t="s">
        <v>13006</v>
      </c>
      <c r="C6896" s="14" t="s">
        <v>13007</v>
      </c>
      <c r="D6896" s="14">
        <v>40</v>
      </c>
      <c r="E6896" s="15">
        <v>6.06</v>
      </c>
      <c r="F6896" s="16" t="s">
        <v>8</v>
      </c>
      <c r="G6896" s="38" t="str">
        <f>HYPERLINK("http://enext.ua/ins0040014")</f>
        <v>http://enext.ua/ins0040014</v>
      </c>
    </row>
    <row r="6897" spans="2:7" ht="22.5" outlineLevel="6" x14ac:dyDescent="0.2">
      <c r="B6897" s="14" t="s">
        <v>13008</v>
      </c>
      <c r="C6897" s="14" t="s">
        <v>13009</v>
      </c>
      <c r="D6897" s="14">
        <v>20</v>
      </c>
      <c r="E6897" s="15">
        <v>6.36</v>
      </c>
      <c r="F6897" s="16" t="s">
        <v>8</v>
      </c>
      <c r="G6897" s="14"/>
    </row>
    <row r="6898" spans="2:7" ht="22.5" outlineLevel="6" x14ac:dyDescent="0.2">
      <c r="B6898" s="14" t="s">
        <v>13010</v>
      </c>
      <c r="C6898" s="14" t="s">
        <v>13011</v>
      </c>
      <c r="D6898" s="14">
        <v>40</v>
      </c>
      <c r="E6898" s="15">
        <v>6.06</v>
      </c>
      <c r="F6898" s="16" t="s">
        <v>8</v>
      </c>
      <c r="G6898" s="14"/>
    </row>
    <row r="6899" spans="2:7" ht="11.25" outlineLevel="6" x14ac:dyDescent="0.2">
      <c r="B6899" s="14" t="s">
        <v>13012</v>
      </c>
      <c r="C6899" s="14" t="s">
        <v>13013</v>
      </c>
      <c r="D6899" s="14">
        <v>40</v>
      </c>
      <c r="E6899" s="15">
        <v>25.31</v>
      </c>
      <c r="F6899" s="16" t="s">
        <v>8</v>
      </c>
      <c r="G6899" s="38" t="str">
        <f>HYPERLINK("http://enext.ua/ins0040015")</f>
        <v>http://enext.ua/ins0040015</v>
      </c>
    </row>
    <row r="6900" spans="2:7" ht="22.5" outlineLevel="6" x14ac:dyDescent="0.2">
      <c r="B6900" s="14" t="s">
        <v>13014</v>
      </c>
      <c r="C6900" s="14" t="s">
        <v>13015</v>
      </c>
      <c r="D6900" s="14">
        <v>20</v>
      </c>
      <c r="E6900" s="15">
        <v>26.58</v>
      </c>
      <c r="F6900" s="16" t="s">
        <v>8</v>
      </c>
      <c r="G6900" s="14"/>
    </row>
    <row r="6901" spans="2:7" ht="11.25" outlineLevel="6" x14ac:dyDescent="0.2">
      <c r="B6901" s="14" t="s">
        <v>13016</v>
      </c>
      <c r="C6901" s="14" t="s">
        <v>13017</v>
      </c>
      <c r="D6901" s="14">
        <v>40</v>
      </c>
      <c r="E6901" s="15">
        <v>25.31</v>
      </c>
      <c r="F6901" s="16" t="s">
        <v>8</v>
      </c>
      <c r="G6901" s="14"/>
    </row>
    <row r="6902" spans="2:7" ht="11.25" outlineLevel="6" x14ac:dyDescent="0.2">
      <c r="B6902" s="14" t="s">
        <v>13018</v>
      </c>
      <c r="C6902" s="14" t="s">
        <v>13019</v>
      </c>
      <c r="D6902" s="14">
        <v>40</v>
      </c>
      <c r="E6902" s="15">
        <v>6.06</v>
      </c>
      <c r="F6902" s="16" t="s">
        <v>8</v>
      </c>
      <c r="G6902" s="38" t="str">
        <f>HYPERLINK("http://enext.ua/ins0040013")</f>
        <v>http://enext.ua/ins0040013</v>
      </c>
    </row>
    <row r="6903" spans="2:7" ht="11.25" outlineLevel="6" x14ac:dyDescent="0.2">
      <c r="B6903" s="14" t="s">
        <v>13020</v>
      </c>
      <c r="C6903" s="14" t="s">
        <v>13021</v>
      </c>
      <c r="D6903" s="14">
        <v>40</v>
      </c>
      <c r="E6903" s="15">
        <v>6.36</v>
      </c>
      <c r="F6903" s="16" t="s">
        <v>8</v>
      </c>
      <c r="G6903" s="14"/>
    </row>
    <row r="6904" spans="2:7" ht="11.25" outlineLevel="6" x14ac:dyDescent="0.2">
      <c r="B6904" s="14" t="s">
        <v>13022</v>
      </c>
      <c r="C6904" s="14" t="s">
        <v>13023</v>
      </c>
      <c r="D6904" s="14">
        <v>40</v>
      </c>
      <c r="E6904" s="15">
        <v>6.06</v>
      </c>
      <c r="F6904" s="16" t="s">
        <v>8</v>
      </c>
      <c r="G6904" s="14"/>
    </row>
    <row r="6905" spans="2:7" ht="12" outlineLevel="5" x14ac:dyDescent="0.2">
      <c r="B6905" s="18"/>
      <c r="C6905" s="39" t="s">
        <v>13024</v>
      </c>
      <c r="D6905" s="18"/>
      <c r="E6905" s="19"/>
      <c r="F6905" s="19"/>
      <c r="G6905" s="18"/>
    </row>
    <row r="6906" spans="2:7" ht="11.25" outlineLevel="6" x14ac:dyDescent="0.2">
      <c r="B6906" s="14" t="s">
        <v>13025</v>
      </c>
      <c r="C6906" s="14" t="s">
        <v>13026</v>
      </c>
      <c r="D6906" s="14">
        <v>1</v>
      </c>
      <c r="E6906" s="15">
        <v>41</v>
      </c>
      <c r="F6906" s="16" t="s">
        <v>8</v>
      </c>
      <c r="G6906" s="38" t="str">
        <f>HYPERLINK("http://enext.ua/ins0040096")</f>
        <v>http://enext.ua/ins0040096</v>
      </c>
    </row>
    <row r="6907" spans="2:7" ht="11.25" outlineLevel="6" x14ac:dyDescent="0.2">
      <c r="B6907" s="14" t="s">
        <v>13027</v>
      </c>
      <c r="C6907" s="14" t="s">
        <v>13028</v>
      </c>
      <c r="D6907" s="14">
        <v>40</v>
      </c>
      <c r="E6907" s="15">
        <v>25.31</v>
      </c>
      <c r="F6907" s="16" t="s">
        <v>8</v>
      </c>
      <c r="G6907" s="38" t="str">
        <f>HYPERLINK("http://enext.ua/ins0040020")</f>
        <v>http://enext.ua/ins0040020</v>
      </c>
    </row>
    <row r="6908" spans="2:7" ht="11.25" outlineLevel="6" x14ac:dyDescent="0.2">
      <c r="B6908" s="14" t="s">
        <v>13029</v>
      </c>
      <c r="C6908" s="14" t="s">
        <v>13030</v>
      </c>
      <c r="D6908" s="14">
        <v>20</v>
      </c>
      <c r="E6908" s="15">
        <v>26.58</v>
      </c>
      <c r="F6908" s="16" t="s">
        <v>8</v>
      </c>
      <c r="G6908" s="14"/>
    </row>
    <row r="6909" spans="2:7" ht="11.25" outlineLevel="6" x14ac:dyDescent="0.2">
      <c r="B6909" s="14" t="s">
        <v>13031</v>
      </c>
      <c r="C6909" s="14" t="s">
        <v>13032</v>
      </c>
      <c r="D6909" s="14">
        <v>40</v>
      </c>
      <c r="E6909" s="15">
        <v>25.31</v>
      </c>
      <c r="F6909" s="16" t="s">
        <v>8</v>
      </c>
      <c r="G6909" s="14"/>
    </row>
    <row r="6910" spans="2:7" ht="11.25" outlineLevel="6" x14ac:dyDescent="0.2">
      <c r="B6910" s="14" t="s">
        <v>13033</v>
      </c>
      <c r="C6910" s="14" t="s">
        <v>13034</v>
      </c>
      <c r="D6910" s="14">
        <v>40</v>
      </c>
      <c r="E6910" s="15">
        <v>5.7</v>
      </c>
      <c r="F6910" s="16" t="s">
        <v>8</v>
      </c>
      <c r="G6910" s="38" t="str">
        <f>HYPERLINK("http://enext.ua/ins0040018")</f>
        <v>http://enext.ua/ins0040018</v>
      </c>
    </row>
    <row r="6911" spans="2:7" ht="11.25" outlineLevel="6" x14ac:dyDescent="0.2">
      <c r="B6911" s="14" t="s">
        <v>13035</v>
      </c>
      <c r="C6911" s="14" t="s">
        <v>13036</v>
      </c>
      <c r="D6911" s="14">
        <v>40</v>
      </c>
      <c r="E6911" s="15">
        <v>5.99</v>
      </c>
      <c r="F6911" s="16" t="s">
        <v>8</v>
      </c>
      <c r="G6911" s="14"/>
    </row>
    <row r="6912" spans="2:7" ht="11.25" outlineLevel="6" x14ac:dyDescent="0.2">
      <c r="B6912" s="14" t="s">
        <v>13037</v>
      </c>
      <c r="C6912" s="14" t="s">
        <v>13038</v>
      </c>
      <c r="D6912" s="14">
        <v>40</v>
      </c>
      <c r="E6912" s="15">
        <v>5.7</v>
      </c>
      <c r="F6912" s="16" t="s">
        <v>8</v>
      </c>
      <c r="G6912" s="14"/>
    </row>
    <row r="6913" spans="2:7" ht="11.25" outlineLevel="6" x14ac:dyDescent="0.2">
      <c r="B6913" s="14" t="s">
        <v>13039</v>
      </c>
      <c r="C6913" s="14" t="s">
        <v>13040</v>
      </c>
      <c r="D6913" s="14">
        <v>40</v>
      </c>
      <c r="E6913" s="15">
        <v>25.31</v>
      </c>
      <c r="F6913" s="16" t="s">
        <v>8</v>
      </c>
      <c r="G6913" s="38" t="str">
        <f>HYPERLINK("http://enext.ua/ins0040019")</f>
        <v>http://enext.ua/ins0040019</v>
      </c>
    </row>
    <row r="6914" spans="2:7" ht="11.25" outlineLevel="6" x14ac:dyDescent="0.2">
      <c r="B6914" s="14" t="s">
        <v>13041</v>
      </c>
      <c r="C6914" s="14" t="s">
        <v>13042</v>
      </c>
      <c r="D6914" s="14">
        <v>20</v>
      </c>
      <c r="E6914" s="15">
        <v>26.58</v>
      </c>
      <c r="F6914" s="16" t="s">
        <v>8</v>
      </c>
      <c r="G6914" s="14"/>
    </row>
    <row r="6915" spans="2:7" ht="11.25" outlineLevel="6" x14ac:dyDescent="0.2">
      <c r="B6915" s="14" t="s">
        <v>13043</v>
      </c>
      <c r="C6915" s="14" t="s">
        <v>13044</v>
      </c>
      <c r="D6915" s="14">
        <v>40</v>
      </c>
      <c r="E6915" s="15">
        <v>25.31</v>
      </c>
      <c r="F6915" s="16" t="s">
        <v>8</v>
      </c>
      <c r="G6915" s="14"/>
    </row>
    <row r="6916" spans="2:7" ht="11.25" outlineLevel="6" x14ac:dyDescent="0.2">
      <c r="B6916" s="14" t="s">
        <v>13045</v>
      </c>
      <c r="C6916" s="14" t="s">
        <v>13046</v>
      </c>
      <c r="D6916" s="14">
        <v>40</v>
      </c>
      <c r="E6916" s="15">
        <v>5.7</v>
      </c>
      <c r="F6916" s="16" t="s">
        <v>8</v>
      </c>
      <c r="G6916" s="38" t="str">
        <f>HYPERLINK("http://enext.ua/ins0040017")</f>
        <v>http://enext.ua/ins0040017</v>
      </c>
    </row>
    <row r="6917" spans="2:7" ht="11.25" outlineLevel="6" x14ac:dyDescent="0.2">
      <c r="B6917" s="14" t="s">
        <v>13047</v>
      </c>
      <c r="C6917" s="14" t="s">
        <v>13048</v>
      </c>
      <c r="D6917" s="14">
        <v>20</v>
      </c>
      <c r="E6917" s="15">
        <v>5.99</v>
      </c>
      <c r="F6917" s="16" t="s">
        <v>8</v>
      </c>
      <c r="G6917" s="14"/>
    </row>
    <row r="6918" spans="2:7" ht="11.25" outlineLevel="6" x14ac:dyDescent="0.2">
      <c r="B6918" s="14" t="s">
        <v>13049</v>
      </c>
      <c r="C6918" s="14" t="s">
        <v>13050</v>
      </c>
      <c r="D6918" s="14">
        <v>40</v>
      </c>
      <c r="E6918" s="15">
        <v>5.7</v>
      </c>
      <c r="F6918" s="16" t="s">
        <v>8</v>
      </c>
      <c r="G6918" s="14"/>
    </row>
    <row r="6919" spans="2:7" ht="12" outlineLevel="5" x14ac:dyDescent="0.2">
      <c r="B6919" s="18"/>
      <c r="C6919" s="39" t="s">
        <v>13051</v>
      </c>
      <c r="D6919" s="18"/>
      <c r="E6919" s="19"/>
      <c r="F6919" s="19"/>
      <c r="G6919" s="18"/>
    </row>
    <row r="6920" spans="2:7" ht="11.25" outlineLevel="6" x14ac:dyDescent="0.2">
      <c r="B6920" s="14" t="s">
        <v>13052</v>
      </c>
      <c r="C6920" s="14" t="s">
        <v>13053</v>
      </c>
      <c r="D6920" s="14">
        <v>1</v>
      </c>
      <c r="E6920" s="15">
        <v>41</v>
      </c>
      <c r="F6920" s="16" t="s">
        <v>8</v>
      </c>
      <c r="G6920" s="38" t="str">
        <f>HYPERLINK("http://enext.ua/ins0040097")</f>
        <v>http://enext.ua/ins0040097</v>
      </c>
    </row>
    <row r="6921" spans="2:7" ht="11.25" outlineLevel="6" x14ac:dyDescent="0.2">
      <c r="B6921" s="14" t="s">
        <v>13054</v>
      </c>
      <c r="C6921" s="14" t="s">
        <v>13055</v>
      </c>
      <c r="D6921" s="14">
        <v>40</v>
      </c>
      <c r="E6921" s="15">
        <v>25.31</v>
      </c>
      <c r="F6921" s="16" t="s">
        <v>8</v>
      </c>
      <c r="G6921" s="38" t="str">
        <f>HYPERLINK("http://enext.ua/ins0040024")</f>
        <v>http://enext.ua/ins0040024</v>
      </c>
    </row>
    <row r="6922" spans="2:7" ht="22.5" outlineLevel="6" x14ac:dyDescent="0.2">
      <c r="B6922" s="14" t="s">
        <v>13056</v>
      </c>
      <c r="C6922" s="14" t="s">
        <v>13057</v>
      </c>
      <c r="D6922" s="14">
        <v>20</v>
      </c>
      <c r="E6922" s="15">
        <v>26.58</v>
      </c>
      <c r="F6922" s="16" t="s">
        <v>8</v>
      </c>
      <c r="G6922" s="14"/>
    </row>
    <row r="6923" spans="2:7" ht="22.5" outlineLevel="6" x14ac:dyDescent="0.2">
      <c r="B6923" s="14" t="s">
        <v>13058</v>
      </c>
      <c r="C6923" s="14" t="s">
        <v>13059</v>
      </c>
      <c r="D6923" s="14">
        <v>40</v>
      </c>
      <c r="E6923" s="15">
        <v>25.31</v>
      </c>
      <c r="F6923" s="16" t="s">
        <v>8</v>
      </c>
      <c r="G6923" s="14"/>
    </row>
    <row r="6924" spans="2:7" ht="11.25" outlineLevel="6" x14ac:dyDescent="0.2">
      <c r="B6924" s="14" t="s">
        <v>13060</v>
      </c>
      <c r="C6924" s="14" t="s">
        <v>13061</v>
      </c>
      <c r="D6924" s="14">
        <v>40</v>
      </c>
      <c r="E6924" s="15">
        <v>6.06</v>
      </c>
      <c r="F6924" s="16" t="s">
        <v>8</v>
      </c>
      <c r="G6924" s="38" t="str">
        <f>HYPERLINK("http://enext.ua/ins0040022")</f>
        <v>http://enext.ua/ins0040022</v>
      </c>
    </row>
    <row r="6925" spans="2:7" ht="22.5" outlineLevel="6" x14ac:dyDescent="0.2">
      <c r="B6925" s="14" t="s">
        <v>13062</v>
      </c>
      <c r="C6925" s="14" t="s">
        <v>13063</v>
      </c>
      <c r="D6925" s="14">
        <v>20</v>
      </c>
      <c r="E6925" s="15">
        <v>6.36</v>
      </c>
      <c r="F6925" s="16" t="s">
        <v>8</v>
      </c>
      <c r="G6925" s="14"/>
    </row>
    <row r="6926" spans="2:7" ht="22.5" outlineLevel="6" x14ac:dyDescent="0.2">
      <c r="B6926" s="14" t="s">
        <v>13064</v>
      </c>
      <c r="C6926" s="14" t="s">
        <v>13065</v>
      </c>
      <c r="D6926" s="14">
        <v>40</v>
      </c>
      <c r="E6926" s="15">
        <v>6.06</v>
      </c>
      <c r="F6926" s="16" t="s">
        <v>8</v>
      </c>
      <c r="G6926" s="14"/>
    </row>
    <row r="6927" spans="2:7" ht="11.25" outlineLevel="6" x14ac:dyDescent="0.2">
      <c r="B6927" s="14" t="s">
        <v>13066</v>
      </c>
      <c r="C6927" s="14" t="s">
        <v>13067</v>
      </c>
      <c r="D6927" s="14">
        <v>40</v>
      </c>
      <c r="E6927" s="15">
        <v>25.31</v>
      </c>
      <c r="F6927" s="16" t="s">
        <v>8</v>
      </c>
      <c r="G6927" s="38" t="str">
        <f>HYPERLINK("http://enext.ua/ins0040023")</f>
        <v>http://enext.ua/ins0040023</v>
      </c>
    </row>
    <row r="6928" spans="2:7" ht="11.25" outlineLevel="6" x14ac:dyDescent="0.2">
      <c r="B6928" s="14" t="s">
        <v>13068</v>
      </c>
      <c r="C6928" s="14" t="s">
        <v>13069</v>
      </c>
      <c r="D6928" s="14">
        <v>40</v>
      </c>
      <c r="E6928" s="15">
        <v>26.58</v>
      </c>
      <c r="F6928" s="16" t="s">
        <v>8</v>
      </c>
      <c r="G6928" s="14"/>
    </row>
    <row r="6929" spans="2:7" ht="11.25" outlineLevel="6" x14ac:dyDescent="0.2">
      <c r="B6929" s="14" t="s">
        <v>13070</v>
      </c>
      <c r="C6929" s="14" t="s">
        <v>13071</v>
      </c>
      <c r="D6929" s="14">
        <v>40</v>
      </c>
      <c r="E6929" s="15">
        <v>25.31</v>
      </c>
      <c r="F6929" s="16" t="s">
        <v>8</v>
      </c>
      <c r="G6929" s="14"/>
    </row>
    <row r="6930" spans="2:7" ht="11.25" outlineLevel="6" x14ac:dyDescent="0.2">
      <c r="B6930" s="14" t="s">
        <v>13072</v>
      </c>
      <c r="C6930" s="14" t="s">
        <v>13073</v>
      </c>
      <c r="D6930" s="14">
        <v>40</v>
      </c>
      <c r="E6930" s="15">
        <v>6.42</v>
      </c>
      <c r="F6930" s="16" t="s">
        <v>8</v>
      </c>
      <c r="G6930" s="38" t="str">
        <f>HYPERLINK("http://enext.ua/ins0040021")</f>
        <v>http://enext.ua/ins0040021</v>
      </c>
    </row>
    <row r="6931" spans="2:7" ht="11.25" outlineLevel="6" x14ac:dyDescent="0.2">
      <c r="B6931" s="14" t="s">
        <v>13074</v>
      </c>
      <c r="C6931" s="14" t="s">
        <v>13075</v>
      </c>
      <c r="D6931" s="14">
        <v>20</v>
      </c>
      <c r="E6931" s="15">
        <v>6.74</v>
      </c>
      <c r="F6931" s="16" t="s">
        <v>8</v>
      </c>
      <c r="G6931" s="14"/>
    </row>
    <row r="6932" spans="2:7" ht="11.25" outlineLevel="6" x14ac:dyDescent="0.2">
      <c r="B6932" s="14" t="s">
        <v>13076</v>
      </c>
      <c r="C6932" s="14" t="s">
        <v>13077</v>
      </c>
      <c r="D6932" s="14">
        <v>40</v>
      </c>
      <c r="E6932" s="15">
        <v>6.42</v>
      </c>
      <c r="F6932" s="16" t="s">
        <v>8</v>
      </c>
      <c r="G6932" s="14"/>
    </row>
    <row r="6933" spans="2:7" ht="12" outlineLevel="4" x14ac:dyDescent="0.2">
      <c r="B6933" s="12"/>
      <c r="C6933" s="37" t="s">
        <v>13078</v>
      </c>
      <c r="D6933" s="12"/>
      <c r="E6933" s="13"/>
      <c r="F6933" s="13"/>
      <c r="G6933" s="12"/>
    </row>
    <row r="6934" spans="2:7" ht="12" outlineLevel="5" x14ac:dyDescent="0.2">
      <c r="B6934" s="18"/>
      <c r="C6934" s="39" t="s">
        <v>12974</v>
      </c>
      <c r="D6934" s="18"/>
      <c r="E6934" s="19"/>
      <c r="F6934" s="19"/>
      <c r="G6934" s="18"/>
    </row>
    <row r="6935" spans="2:7" ht="11.25" outlineLevel="6" x14ac:dyDescent="0.2">
      <c r="B6935" s="14" t="s">
        <v>13079</v>
      </c>
      <c r="C6935" s="14" t="s">
        <v>13080</v>
      </c>
      <c r="D6935" s="14">
        <v>1</v>
      </c>
      <c r="E6935" s="15">
        <v>55.62</v>
      </c>
      <c r="F6935" s="16" t="s">
        <v>8</v>
      </c>
      <c r="G6935" s="38" t="str">
        <f>HYPERLINK("http://enext.ua/ins0040098")</f>
        <v>http://enext.ua/ins0040098</v>
      </c>
    </row>
    <row r="6936" spans="2:7" ht="11.25" outlineLevel="6" x14ac:dyDescent="0.2">
      <c r="B6936" s="14" t="s">
        <v>13081</v>
      </c>
      <c r="C6936" s="14" t="s">
        <v>13082</v>
      </c>
      <c r="D6936" s="14">
        <v>42</v>
      </c>
      <c r="E6936" s="15">
        <v>33.159999999999997</v>
      </c>
      <c r="F6936" s="16" t="s">
        <v>8</v>
      </c>
      <c r="G6936" s="38" t="str">
        <f>HYPERLINK("http://enext.ua/ins0040004")</f>
        <v>http://enext.ua/ins0040004</v>
      </c>
    </row>
    <row r="6937" spans="2:7" ht="11.25" outlineLevel="6" x14ac:dyDescent="0.2">
      <c r="B6937" s="14" t="s">
        <v>13083</v>
      </c>
      <c r="C6937" s="14" t="s">
        <v>13084</v>
      </c>
      <c r="D6937" s="14">
        <v>40</v>
      </c>
      <c r="E6937" s="15">
        <v>34.82</v>
      </c>
      <c r="F6937" s="16" t="s">
        <v>8</v>
      </c>
      <c r="G6937" s="14"/>
    </row>
    <row r="6938" spans="2:7" ht="11.25" outlineLevel="6" x14ac:dyDescent="0.2">
      <c r="B6938" s="14" t="s">
        <v>13085</v>
      </c>
      <c r="C6938" s="14" t="s">
        <v>13086</v>
      </c>
      <c r="D6938" s="14">
        <v>42</v>
      </c>
      <c r="E6938" s="15">
        <v>33.159999999999997</v>
      </c>
      <c r="F6938" s="16" t="s">
        <v>8</v>
      </c>
      <c r="G6938" s="14"/>
    </row>
    <row r="6939" spans="2:7" ht="11.25" outlineLevel="6" x14ac:dyDescent="0.2">
      <c r="B6939" s="14" t="s">
        <v>13087</v>
      </c>
      <c r="C6939" s="14" t="s">
        <v>13088</v>
      </c>
      <c r="D6939" s="14">
        <v>42</v>
      </c>
      <c r="E6939" s="15">
        <v>6.42</v>
      </c>
      <c r="F6939" s="16" t="s">
        <v>8</v>
      </c>
      <c r="G6939" s="38" t="str">
        <f>HYPERLINK("http://enext.ua/ins0040002")</f>
        <v>http://enext.ua/ins0040002</v>
      </c>
    </row>
    <row r="6940" spans="2:7" ht="11.25" outlineLevel="6" x14ac:dyDescent="0.2">
      <c r="B6940" s="14" t="s">
        <v>13089</v>
      </c>
      <c r="C6940" s="14" t="s">
        <v>13090</v>
      </c>
      <c r="D6940" s="14">
        <v>40</v>
      </c>
      <c r="E6940" s="15">
        <v>6.74</v>
      </c>
      <c r="F6940" s="16" t="s">
        <v>8</v>
      </c>
      <c r="G6940" s="14"/>
    </row>
    <row r="6941" spans="2:7" ht="11.25" outlineLevel="6" x14ac:dyDescent="0.2">
      <c r="B6941" s="14" t="s">
        <v>13091</v>
      </c>
      <c r="C6941" s="14" t="s">
        <v>13092</v>
      </c>
      <c r="D6941" s="14">
        <v>42</v>
      </c>
      <c r="E6941" s="15">
        <v>6.42</v>
      </c>
      <c r="F6941" s="16" t="s">
        <v>8</v>
      </c>
      <c r="G6941" s="14"/>
    </row>
    <row r="6942" spans="2:7" ht="11.25" outlineLevel="6" x14ac:dyDescent="0.2">
      <c r="B6942" s="14" t="s">
        <v>13093</v>
      </c>
      <c r="C6942" s="14" t="s">
        <v>13094</v>
      </c>
      <c r="D6942" s="14">
        <v>42</v>
      </c>
      <c r="E6942" s="15">
        <v>34.229999999999997</v>
      </c>
      <c r="F6942" s="16" t="s">
        <v>8</v>
      </c>
      <c r="G6942" s="38" t="str">
        <f>HYPERLINK("http://enext.ua/ins0040003")</f>
        <v>http://enext.ua/ins0040003</v>
      </c>
    </row>
    <row r="6943" spans="2:7" ht="11.25" outlineLevel="6" x14ac:dyDescent="0.2">
      <c r="B6943" s="14" t="s">
        <v>13095</v>
      </c>
      <c r="C6943" s="14" t="s">
        <v>13096</v>
      </c>
      <c r="D6943" s="14">
        <v>20</v>
      </c>
      <c r="E6943" s="15">
        <v>35.94</v>
      </c>
      <c r="F6943" s="16" t="s">
        <v>8</v>
      </c>
      <c r="G6943" s="14"/>
    </row>
    <row r="6944" spans="2:7" ht="11.25" outlineLevel="6" x14ac:dyDescent="0.2">
      <c r="B6944" s="14" t="s">
        <v>13097</v>
      </c>
      <c r="C6944" s="14" t="s">
        <v>13098</v>
      </c>
      <c r="D6944" s="14">
        <v>42</v>
      </c>
      <c r="E6944" s="15">
        <v>34.229999999999997</v>
      </c>
      <c r="F6944" s="16" t="s">
        <v>8</v>
      </c>
      <c r="G6944" s="14"/>
    </row>
    <row r="6945" spans="2:7" ht="11.25" outlineLevel="6" x14ac:dyDescent="0.2">
      <c r="B6945" s="14" t="s">
        <v>13099</v>
      </c>
      <c r="C6945" s="14" t="s">
        <v>13100</v>
      </c>
      <c r="D6945" s="14">
        <v>40</v>
      </c>
      <c r="E6945" s="15">
        <v>6.58</v>
      </c>
      <c r="F6945" s="16" t="s">
        <v>8</v>
      </c>
      <c r="G6945" s="14"/>
    </row>
    <row r="6946" spans="2:7" ht="11.25" outlineLevel="6" x14ac:dyDescent="0.2">
      <c r="B6946" s="14" t="s">
        <v>13101</v>
      </c>
      <c r="C6946" s="14" t="s">
        <v>13102</v>
      </c>
      <c r="D6946" s="14">
        <v>42</v>
      </c>
      <c r="E6946" s="15">
        <v>6.26</v>
      </c>
      <c r="F6946" s="16" t="s">
        <v>8</v>
      </c>
      <c r="G6946" s="14"/>
    </row>
    <row r="6947" spans="2:7" ht="12" outlineLevel="5" x14ac:dyDescent="0.2">
      <c r="B6947" s="18"/>
      <c r="C6947" s="39" t="s">
        <v>13103</v>
      </c>
      <c r="D6947" s="18"/>
      <c r="E6947" s="19"/>
      <c r="F6947" s="19"/>
      <c r="G6947" s="18"/>
    </row>
    <row r="6948" spans="2:7" ht="11.25" outlineLevel="6" x14ac:dyDescent="0.2">
      <c r="B6948" s="14" t="s">
        <v>13104</v>
      </c>
      <c r="C6948" s="14" t="s">
        <v>13105</v>
      </c>
      <c r="D6948" s="14">
        <v>1</v>
      </c>
      <c r="E6948" s="15">
        <v>55.62</v>
      </c>
      <c r="F6948" s="16" t="s">
        <v>8</v>
      </c>
      <c r="G6948" s="38" t="str">
        <f>HYPERLINK("http://enext.ua/ins0040099")</f>
        <v>http://enext.ua/ins0040099</v>
      </c>
    </row>
    <row r="6949" spans="2:7" ht="11.25" outlineLevel="6" x14ac:dyDescent="0.2">
      <c r="B6949" s="14" t="s">
        <v>13106</v>
      </c>
      <c r="C6949" s="14" t="s">
        <v>13107</v>
      </c>
      <c r="D6949" s="14">
        <v>42</v>
      </c>
      <c r="E6949" s="15">
        <v>34.229999999999997</v>
      </c>
      <c r="F6949" s="16" t="s">
        <v>8</v>
      </c>
      <c r="G6949" s="38" t="str">
        <f>HYPERLINK("http://enext.ua/ins0040008")</f>
        <v>http://enext.ua/ins0040008</v>
      </c>
    </row>
    <row r="6950" spans="2:7" ht="22.5" outlineLevel="6" x14ac:dyDescent="0.2">
      <c r="B6950" s="14" t="s">
        <v>13108</v>
      </c>
      <c r="C6950" s="14" t="s">
        <v>13109</v>
      </c>
      <c r="D6950" s="14">
        <v>20</v>
      </c>
      <c r="E6950" s="15">
        <v>35.94</v>
      </c>
      <c r="F6950" s="16" t="s">
        <v>8</v>
      </c>
      <c r="G6950" s="14"/>
    </row>
    <row r="6951" spans="2:7" ht="22.5" outlineLevel="6" x14ac:dyDescent="0.2">
      <c r="B6951" s="14" t="s">
        <v>13110</v>
      </c>
      <c r="C6951" s="14" t="s">
        <v>13111</v>
      </c>
      <c r="D6951" s="14">
        <v>42</v>
      </c>
      <c r="E6951" s="15">
        <v>34.229999999999997</v>
      </c>
      <c r="F6951" s="16" t="s">
        <v>8</v>
      </c>
      <c r="G6951" s="14"/>
    </row>
    <row r="6952" spans="2:7" ht="11.25" outlineLevel="6" x14ac:dyDescent="0.2">
      <c r="B6952" s="14" t="s">
        <v>13112</v>
      </c>
      <c r="C6952" s="14" t="s">
        <v>13113</v>
      </c>
      <c r="D6952" s="14">
        <v>42</v>
      </c>
      <c r="E6952" s="15">
        <v>6.42</v>
      </c>
      <c r="F6952" s="16" t="s">
        <v>8</v>
      </c>
      <c r="G6952" s="38" t="str">
        <f>HYPERLINK("http://enext.ua/ins0040006")</f>
        <v>http://enext.ua/ins0040006</v>
      </c>
    </row>
    <row r="6953" spans="2:7" ht="22.5" outlineLevel="6" x14ac:dyDescent="0.2">
      <c r="B6953" s="14" t="s">
        <v>13114</v>
      </c>
      <c r="C6953" s="14" t="s">
        <v>13115</v>
      </c>
      <c r="D6953" s="14">
        <v>40</v>
      </c>
      <c r="E6953" s="15">
        <v>6.74</v>
      </c>
      <c r="F6953" s="16" t="s">
        <v>8</v>
      </c>
      <c r="G6953" s="14"/>
    </row>
    <row r="6954" spans="2:7" ht="22.5" outlineLevel="6" x14ac:dyDescent="0.2">
      <c r="B6954" s="14" t="s">
        <v>13116</v>
      </c>
      <c r="C6954" s="14" t="s">
        <v>13117</v>
      </c>
      <c r="D6954" s="14">
        <v>42</v>
      </c>
      <c r="E6954" s="15">
        <v>6.42</v>
      </c>
      <c r="F6954" s="16" t="s">
        <v>8</v>
      </c>
      <c r="G6954" s="14"/>
    </row>
    <row r="6955" spans="2:7" ht="11.25" outlineLevel="6" x14ac:dyDescent="0.2">
      <c r="B6955" s="14" t="s">
        <v>13118</v>
      </c>
      <c r="C6955" s="14" t="s">
        <v>13119</v>
      </c>
      <c r="D6955" s="14">
        <v>42</v>
      </c>
      <c r="E6955" s="15">
        <v>34.229999999999997</v>
      </c>
      <c r="F6955" s="16" t="s">
        <v>8</v>
      </c>
      <c r="G6955" s="38" t="str">
        <f>HYPERLINK("http://enext.ua/ins0040007")</f>
        <v>http://enext.ua/ins0040007</v>
      </c>
    </row>
    <row r="6956" spans="2:7" ht="11.25" outlineLevel="6" x14ac:dyDescent="0.2">
      <c r="B6956" s="14" t="s">
        <v>13120</v>
      </c>
      <c r="C6956" s="14" t="s">
        <v>13121</v>
      </c>
      <c r="D6956" s="14">
        <v>20</v>
      </c>
      <c r="E6956" s="15">
        <v>35.94</v>
      </c>
      <c r="F6956" s="16" t="s">
        <v>8</v>
      </c>
      <c r="G6956" s="14"/>
    </row>
    <row r="6957" spans="2:7" ht="11.25" outlineLevel="6" x14ac:dyDescent="0.2">
      <c r="B6957" s="14" t="s">
        <v>13122</v>
      </c>
      <c r="C6957" s="14" t="s">
        <v>13123</v>
      </c>
      <c r="D6957" s="14">
        <v>42</v>
      </c>
      <c r="E6957" s="15">
        <v>34.229999999999997</v>
      </c>
      <c r="F6957" s="16" t="s">
        <v>8</v>
      </c>
      <c r="G6957" s="14"/>
    </row>
    <row r="6958" spans="2:7" ht="11.25" outlineLevel="6" x14ac:dyDescent="0.2">
      <c r="B6958" s="14" t="s">
        <v>13124</v>
      </c>
      <c r="C6958" s="14" t="s">
        <v>13125</v>
      </c>
      <c r="D6958" s="14">
        <v>42</v>
      </c>
      <c r="E6958" s="15">
        <v>6.42</v>
      </c>
      <c r="F6958" s="16" t="s">
        <v>8</v>
      </c>
      <c r="G6958" s="38" t="str">
        <f>HYPERLINK("http://enext.ua/ins0040005")</f>
        <v>http://enext.ua/ins0040005</v>
      </c>
    </row>
    <row r="6959" spans="2:7" ht="11.25" outlineLevel="6" x14ac:dyDescent="0.2">
      <c r="B6959" s="14" t="s">
        <v>13126</v>
      </c>
      <c r="C6959" s="14" t="s">
        <v>13127</v>
      </c>
      <c r="D6959" s="14">
        <v>40</v>
      </c>
      <c r="E6959" s="15">
        <v>6.74</v>
      </c>
      <c r="F6959" s="16" t="s">
        <v>8</v>
      </c>
      <c r="G6959" s="14"/>
    </row>
    <row r="6960" spans="2:7" ht="11.25" outlineLevel="6" x14ac:dyDescent="0.2">
      <c r="B6960" s="14" t="s">
        <v>13128</v>
      </c>
      <c r="C6960" s="14" t="s">
        <v>13129</v>
      </c>
      <c r="D6960" s="14">
        <v>42</v>
      </c>
      <c r="E6960" s="15">
        <v>6.42</v>
      </c>
      <c r="F6960" s="16" t="s">
        <v>8</v>
      </c>
      <c r="G6960" s="14"/>
    </row>
    <row r="6961" spans="2:7" ht="12" outlineLevel="4" x14ac:dyDescent="0.2">
      <c r="B6961" s="12"/>
      <c r="C6961" s="37" t="s">
        <v>13130</v>
      </c>
      <c r="D6961" s="12"/>
      <c r="E6961" s="13"/>
      <c r="F6961" s="13"/>
      <c r="G6961" s="12"/>
    </row>
    <row r="6962" spans="2:7" ht="12" outlineLevel="5" x14ac:dyDescent="0.2">
      <c r="B6962" s="18"/>
      <c r="C6962" s="39" t="s">
        <v>13131</v>
      </c>
      <c r="D6962" s="18"/>
      <c r="E6962" s="19"/>
      <c r="F6962" s="19"/>
      <c r="G6962" s="18"/>
    </row>
    <row r="6963" spans="2:7" ht="11.25" outlineLevel="6" x14ac:dyDescent="0.2">
      <c r="B6963" s="14" t="s">
        <v>13132</v>
      </c>
      <c r="C6963" s="14" t="s">
        <v>13133</v>
      </c>
      <c r="D6963" s="14">
        <v>1</v>
      </c>
      <c r="E6963" s="15">
        <v>140.5</v>
      </c>
      <c r="F6963" s="16" t="s">
        <v>8</v>
      </c>
      <c r="G6963" s="38" t="str">
        <f>HYPERLINK("http://enext.ua/ins0040105")</f>
        <v>http://enext.ua/ins0040105</v>
      </c>
    </row>
    <row r="6964" spans="2:7" ht="11.25" outlineLevel="6" x14ac:dyDescent="0.2">
      <c r="B6964" s="14" t="s">
        <v>13134</v>
      </c>
      <c r="C6964" s="14" t="s">
        <v>13135</v>
      </c>
      <c r="D6964" s="14">
        <v>10</v>
      </c>
      <c r="E6964" s="15">
        <v>63.09</v>
      </c>
      <c r="F6964" s="16" t="s">
        <v>8</v>
      </c>
      <c r="G6964" s="38" t="str">
        <f>HYPERLINK("http://enext.ua/ins0040068")</f>
        <v>http://enext.ua/ins0040068</v>
      </c>
    </row>
    <row r="6965" spans="2:7" ht="22.5" outlineLevel="6" x14ac:dyDescent="0.2">
      <c r="B6965" s="14" t="s">
        <v>13136</v>
      </c>
      <c r="C6965" s="14" t="s">
        <v>13137</v>
      </c>
      <c r="D6965" s="14">
        <v>10</v>
      </c>
      <c r="E6965" s="15">
        <v>66.25</v>
      </c>
      <c r="F6965" s="16" t="s">
        <v>8</v>
      </c>
      <c r="G6965" s="14"/>
    </row>
    <row r="6966" spans="2:7" ht="22.5" outlineLevel="6" x14ac:dyDescent="0.2">
      <c r="B6966" s="14" t="s">
        <v>13138</v>
      </c>
      <c r="C6966" s="14" t="s">
        <v>13139</v>
      </c>
      <c r="D6966" s="14">
        <v>10</v>
      </c>
      <c r="E6966" s="15">
        <v>63.09</v>
      </c>
      <c r="F6966" s="16" t="s">
        <v>8</v>
      </c>
      <c r="G6966" s="14"/>
    </row>
    <row r="6967" spans="2:7" ht="11.25" outlineLevel="6" x14ac:dyDescent="0.2">
      <c r="B6967" s="14" t="s">
        <v>13140</v>
      </c>
      <c r="C6967" s="14" t="s">
        <v>13141</v>
      </c>
      <c r="D6967" s="14">
        <v>10</v>
      </c>
      <c r="E6967" s="15">
        <v>50.95</v>
      </c>
      <c r="F6967" s="16" t="s">
        <v>8</v>
      </c>
      <c r="G6967" s="38" t="str">
        <f>HYPERLINK("http://enext.ua/ins0040066")</f>
        <v>http://enext.ua/ins0040066</v>
      </c>
    </row>
    <row r="6968" spans="2:7" ht="22.5" outlineLevel="6" x14ac:dyDescent="0.2">
      <c r="B6968" s="14" t="s">
        <v>13142</v>
      </c>
      <c r="C6968" s="14" t="s">
        <v>13143</v>
      </c>
      <c r="D6968" s="14">
        <v>40</v>
      </c>
      <c r="E6968" s="15">
        <v>53.5</v>
      </c>
      <c r="F6968" s="16" t="s">
        <v>8</v>
      </c>
      <c r="G6968" s="14"/>
    </row>
    <row r="6969" spans="2:7" ht="22.5" outlineLevel="6" x14ac:dyDescent="0.2">
      <c r="B6969" s="14" t="s">
        <v>13144</v>
      </c>
      <c r="C6969" s="14" t="s">
        <v>13145</v>
      </c>
      <c r="D6969" s="14">
        <v>10</v>
      </c>
      <c r="E6969" s="15">
        <v>50.95</v>
      </c>
      <c r="F6969" s="16" t="s">
        <v>8</v>
      </c>
      <c r="G6969" s="14"/>
    </row>
    <row r="6970" spans="2:7" ht="11.25" outlineLevel="6" x14ac:dyDescent="0.2">
      <c r="B6970" s="14" t="s">
        <v>13146</v>
      </c>
      <c r="C6970" s="14" t="s">
        <v>13147</v>
      </c>
      <c r="D6970" s="14">
        <v>10</v>
      </c>
      <c r="E6970" s="15">
        <v>59.41</v>
      </c>
      <c r="F6970" s="16" t="s">
        <v>8</v>
      </c>
      <c r="G6970" s="38" t="str">
        <f>HYPERLINK("http://enext.ua/ins0040067")</f>
        <v>http://enext.ua/ins0040067</v>
      </c>
    </row>
    <row r="6971" spans="2:7" ht="22.5" outlineLevel="6" x14ac:dyDescent="0.2">
      <c r="B6971" s="14" t="s">
        <v>13148</v>
      </c>
      <c r="C6971" s="14" t="s">
        <v>13149</v>
      </c>
      <c r="D6971" s="14">
        <v>20</v>
      </c>
      <c r="E6971" s="15">
        <v>62.38</v>
      </c>
      <c r="F6971" s="16" t="s">
        <v>8</v>
      </c>
      <c r="G6971" s="14"/>
    </row>
    <row r="6972" spans="2:7" ht="22.5" outlineLevel="6" x14ac:dyDescent="0.2">
      <c r="B6972" s="14" t="s">
        <v>13150</v>
      </c>
      <c r="C6972" s="14" t="s">
        <v>13151</v>
      </c>
      <c r="D6972" s="14">
        <v>10</v>
      </c>
      <c r="E6972" s="15">
        <v>59.41</v>
      </c>
      <c r="F6972" s="16" t="s">
        <v>8</v>
      </c>
      <c r="G6972" s="14"/>
    </row>
    <row r="6973" spans="2:7" ht="11.25" outlineLevel="6" x14ac:dyDescent="0.2">
      <c r="B6973" s="14" t="s">
        <v>13152</v>
      </c>
      <c r="C6973" s="14" t="s">
        <v>13153</v>
      </c>
      <c r="D6973" s="14">
        <v>10</v>
      </c>
      <c r="E6973" s="15">
        <v>44.13</v>
      </c>
      <c r="F6973" s="16" t="s">
        <v>8</v>
      </c>
      <c r="G6973" s="38" t="str">
        <f>HYPERLINK("http://enext.ua/ins0040065")</f>
        <v>http://enext.ua/ins0040065</v>
      </c>
    </row>
    <row r="6974" spans="2:7" ht="22.5" outlineLevel="6" x14ac:dyDescent="0.2">
      <c r="B6974" s="14" t="s">
        <v>13154</v>
      </c>
      <c r="C6974" s="14" t="s">
        <v>13155</v>
      </c>
      <c r="D6974" s="14">
        <v>40</v>
      </c>
      <c r="E6974" s="15">
        <v>46.34</v>
      </c>
      <c r="F6974" s="16" t="s">
        <v>8</v>
      </c>
      <c r="G6974" s="14"/>
    </row>
    <row r="6975" spans="2:7" ht="22.5" outlineLevel="6" x14ac:dyDescent="0.2">
      <c r="B6975" s="14" t="s">
        <v>13156</v>
      </c>
      <c r="C6975" s="14" t="s">
        <v>13157</v>
      </c>
      <c r="D6975" s="14">
        <v>10</v>
      </c>
      <c r="E6975" s="15">
        <v>44.13</v>
      </c>
      <c r="F6975" s="16" t="s">
        <v>8</v>
      </c>
      <c r="G6975" s="14"/>
    </row>
    <row r="6976" spans="2:7" ht="12" outlineLevel="5" x14ac:dyDescent="0.2">
      <c r="B6976" s="18"/>
      <c r="C6976" s="39" t="s">
        <v>13158</v>
      </c>
      <c r="D6976" s="18"/>
      <c r="E6976" s="19"/>
      <c r="F6976" s="19"/>
      <c r="G6976" s="18"/>
    </row>
    <row r="6977" spans="2:7" ht="11.25" outlineLevel="6" x14ac:dyDescent="0.2">
      <c r="B6977" s="14" t="s">
        <v>13159</v>
      </c>
      <c r="C6977" s="14" t="s">
        <v>13160</v>
      </c>
      <c r="D6977" s="14">
        <v>1</v>
      </c>
      <c r="E6977" s="15">
        <v>124.89</v>
      </c>
      <c r="F6977" s="16" t="s">
        <v>8</v>
      </c>
      <c r="G6977" s="38" t="str">
        <f>HYPERLINK("http://enext.ua/ins0040106")</f>
        <v>http://enext.ua/ins0040106</v>
      </c>
    </row>
    <row r="6978" spans="2:7" ht="11.25" outlineLevel="6" x14ac:dyDescent="0.2">
      <c r="B6978" s="14" t="s">
        <v>13161</v>
      </c>
      <c r="C6978" s="14" t="s">
        <v>13162</v>
      </c>
      <c r="D6978" s="14">
        <v>10</v>
      </c>
      <c r="E6978" s="15">
        <v>55.51</v>
      </c>
      <c r="F6978" s="16" t="s">
        <v>8</v>
      </c>
      <c r="G6978" s="38" t="str">
        <f>HYPERLINK("http://enext.ua/ins0040072")</f>
        <v>http://enext.ua/ins0040072</v>
      </c>
    </row>
    <row r="6979" spans="2:7" ht="22.5" outlineLevel="6" x14ac:dyDescent="0.2">
      <c r="B6979" s="14" t="s">
        <v>13163</v>
      </c>
      <c r="C6979" s="14" t="s">
        <v>13164</v>
      </c>
      <c r="D6979" s="14">
        <v>10</v>
      </c>
      <c r="E6979" s="15">
        <v>58.28</v>
      </c>
      <c r="F6979" s="16" t="s">
        <v>8</v>
      </c>
      <c r="G6979" s="14"/>
    </row>
    <row r="6980" spans="2:7" ht="22.5" outlineLevel="6" x14ac:dyDescent="0.2">
      <c r="B6980" s="14" t="s">
        <v>13165</v>
      </c>
      <c r="C6980" s="14" t="s">
        <v>13166</v>
      </c>
      <c r="D6980" s="14">
        <v>10</v>
      </c>
      <c r="E6980" s="15">
        <v>55.51</v>
      </c>
      <c r="F6980" s="16" t="s">
        <v>8</v>
      </c>
      <c r="G6980" s="14"/>
    </row>
    <row r="6981" spans="2:7" ht="11.25" outlineLevel="6" x14ac:dyDescent="0.2">
      <c r="B6981" s="14" t="s">
        <v>13167</v>
      </c>
      <c r="C6981" s="14" t="s">
        <v>13168</v>
      </c>
      <c r="D6981" s="14">
        <v>10</v>
      </c>
      <c r="E6981" s="15">
        <v>44.52</v>
      </c>
      <c r="F6981" s="16" t="s">
        <v>8</v>
      </c>
      <c r="G6981" s="38" t="str">
        <f>HYPERLINK("http://enext.ua/ins0040070")</f>
        <v>http://enext.ua/ins0040070</v>
      </c>
    </row>
    <row r="6982" spans="2:7" ht="22.5" outlineLevel="6" x14ac:dyDescent="0.2">
      <c r="B6982" s="14" t="s">
        <v>13169</v>
      </c>
      <c r="C6982" s="14" t="s">
        <v>13170</v>
      </c>
      <c r="D6982" s="14">
        <v>40</v>
      </c>
      <c r="E6982" s="15">
        <v>46.75</v>
      </c>
      <c r="F6982" s="16" t="s">
        <v>8</v>
      </c>
      <c r="G6982" s="14"/>
    </row>
    <row r="6983" spans="2:7" ht="22.5" outlineLevel="6" x14ac:dyDescent="0.2">
      <c r="B6983" s="14" t="s">
        <v>13171</v>
      </c>
      <c r="C6983" s="14" t="s">
        <v>13172</v>
      </c>
      <c r="D6983" s="14">
        <v>10</v>
      </c>
      <c r="E6983" s="15">
        <v>44.52</v>
      </c>
      <c r="F6983" s="16" t="s">
        <v>8</v>
      </c>
      <c r="G6983" s="14"/>
    </row>
    <row r="6984" spans="2:7" ht="11.25" outlineLevel="6" x14ac:dyDescent="0.2">
      <c r="B6984" s="14" t="s">
        <v>13173</v>
      </c>
      <c r="C6984" s="14" t="s">
        <v>13174</v>
      </c>
      <c r="D6984" s="14">
        <v>10</v>
      </c>
      <c r="E6984" s="15">
        <v>56.08</v>
      </c>
      <c r="F6984" s="16" t="s">
        <v>8</v>
      </c>
      <c r="G6984" s="38" t="str">
        <f>HYPERLINK("http://enext.ua/ins0040071")</f>
        <v>http://enext.ua/ins0040071</v>
      </c>
    </row>
    <row r="6985" spans="2:7" ht="22.5" outlineLevel="6" x14ac:dyDescent="0.2">
      <c r="B6985" s="14" t="s">
        <v>13175</v>
      </c>
      <c r="C6985" s="14" t="s">
        <v>13176</v>
      </c>
      <c r="D6985" s="14">
        <v>20</v>
      </c>
      <c r="E6985" s="15">
        <v>58.89</v>
      </c>
      <c r="F6985" s="16" t="s">
        <v>8</v>
      </c>
      <c r="G6985" s="14"/>
    </row>
    <row r="6986" spans="2:7" ht="22.5" outlineLevel="6" x14ac:dyDescent="0.2">
      <c r="B6986" s="14" t="s">
        <v>13177</v>
      </c>
      <c r="C6986" s="14" t="s">
        <v>13178</v>
      </c>
      <c r="D6986" s="14">
        <v>10</v>
      </c>
      <c r="E6986" s="15">
        <v>56.08</v>
      </c>
      <c r="F6986" s="16" t="s">
        <v>8</v>
      </c>
      <c r="G6986" s="14"/>
    </row>
    <row r="6987" spans="2:7" ht="22.5" outlineLevel="6" x14ac:dyDescent="0.2">
      <c r="B6987" s="14" t="s">
        <v>13179</v>
      </c>
      <c r="C6987" s="14" t="s">
        <v>13180</v>
      </c>
      <c r="D6987" s="14">
        <v>40</v>
      </c>
      <c r="E6987" s="15">
        <v>49.21</v>
      </c>
      <c r="F6987" s="16" t="s">
        <v>8</v>
      </c>
      <c r="G6987" s="14"/>
    </row>
    <row r="6988" spans="2:7" ht="22.5" outlineLevel="6" x14ac:dyDescent="0.2">
      <c r="B6988" s="14" t="s">
        <v>13181</v>
      </c>
      <c r="C6988" s="14" t="s">
        <v>13182</v>
      </c>
      <c r="D6988" s="14">
        <v>10</v>
      </c>
      <c r="E6988" s="15">
        <v>46.87</v>
      </c>
      <c r="F6988" s="16" t="s">
        <v>8</v>
      </c>
      <c r="G6988" s="14"/>
    </row>
    <row r="6989" spans="2:7" ht="12" outlineLevel="4" x14ac:dyDescent="0.2">
      <c r="B6989" s="12"/>
      <c r="C6989" s="37" t="s">
        <v>13183</v>
      </c>
      <c r="D6989" s="12"/>
      <c r="E6989" s="13"/>
      <c r="F6989" s="13"/>
      <c r="G6989" s="12"/>
    </row>
    <row r="6990" spans="2:7" ht="12" outlineLevel="5" x14ac:dyDescent="0.2">
      <c r="B6990" s="18"/>
      <c r="C6990" s="39" t="s">
        <v>13184</v>
      </c>
      <c r="D6990" s="18"/>
      <c r="E6990" s="19"/>
      <c r="F6990" s="19"/>
      <c r="G6990" s="18"/>
    </row>
    <row r="6991" spans="2:7" ht="11.25" outlineLevel="6" x14ac:dyDescent="0.2">
      <c r="B6991" s="14" t="s">
        <v>13185</v>
      </c>
      <c r="C6991" s="14" t="s">
        <v>13186</v>
      </c>
      <c r="D6991" s="14">
        <v>10</v>
      </c>
      <c r="E6991" s="15">
        <v>25.31</v>
      </c>
      <c r="F6991" s="16" t="s">
        <v>8</v>
      </c>
      <c r="G6991" s="38" t="str">
        <f>HYPERLINK("http://enext.ua/ins0010003")</f>
        <v>http://enext.ua/ins0010003</v>
      </c>
    </row>
    <row r="6992" spans="2:7" ht="11.25" outlineLevel="6" x14ac:dyDescent="0.2">
      <c r="B6992" s="14" t="s">
        <v>13187</v>
      </c>
      <c r="C6992" s="14" t="s">
        <v>13188</v>
      </c>
      <c r="D6992" s="14">
        <v>10</v>
      </c>
      <c r="E6992" s="15">
        <v>26.58</v>
      </c>
      <c r="F6992" s="16" t="s">
        <v>8</v>
      </c>
      <c r="G6992" s="14"/>
    </row>
    <row r="6993" spans="2:7" ht="11.25" outlineLevel="6" x14ac:dyDescent="0.2">
      <c r="B6993" s="14" t="s">
        <v>13189</v>
      </c>
      <c r="C6993" s="14" t="s">
        <v>13190</v>
      </c>
      <c r="D6993" s="14">
        <v>10</v>
      </c>
      <c r="E6993" s="15">
        <v>25.31</v>
      </c>
      <c r="F6993" s="16" t="s">
        <v>8</v>
      </c>
      <c r="G6993" s="14"/>
    </row>
    <row r="6994" spans="2:7" ht="11.25" outlineLevel="6" x14ac:dyDescent="0.2">
      <c r="B6994" s="14" t="s">
        <v>13191</v>
      </c>
      <c r="C6994" s="14" t="s">
        <v>13192</v>
      </c>
      <c r="D6994" s="14">
        <v>10</v>
      </c>
      <c r="E6994" s="15">
        <v>37.06</v>
      </c>
      <c r="F6994" s="16" t="s">
        <v>8</v>
      </c>
      <c r="G6994" s="14"/>
    </row>
    <row r="6995" spans="2:7" ht="11.25" outlineLevel="6" x14ac:dyDescent="0.2">
      <c r="B6995" s="14" t="s">
        <v>13193</v>
      </c>
      <c r="C6995" s="14" t="s">
        <v>13194</v>
      </c>
      <c r="D6995" s="14">
        <v>10</v>
      </c>
      <c r="E6995" s="15">
        <v>35.299999999999997</v>
      </c>
      <c r="F6995" s="16" t="s">
        <v>8</v>
      </c>
      <c r="G6995" s="14"/>
    </row>
    <row r="6996" spans="2:7" ht="11.25" outlineLevel="6" x14ac:dyDescent="0.2">
      <c r="B6996" s="14" t="s">
        <v>13195</v>
      </c>
      <c r="C6996" s="14" t="s">
        <v>13196</v>
      </c>
      <c r="D6996" s="14">
        <v>10</v>
      </c>
      <c r="E6996" s="15">
        <v>45.64</v>
      </c>
      <c r="F6996" s="16" t="s">
        <v>8</v>
      </c>
      <c r="G6996" s="38" t="str">
        <f>HYPERLINK("http://enext.ua/ins0010009")</f>
        <v>http://enext.ua/ins0010009</v>
      </c>
    </row>
    <row r="6997" spans="2:7" ht="22.5" outlineLevel="6" x14ac:dyDescent="0.2">
      <c r="B6997" s="14" t="s">
        <v>13197</v>
      </c>
      <c r="C6997" s="14" t="s">
        <v>13198</v>
      </c>
      <c r="D6997" s="14">
        <v>10</v>
      </c>
      <c r="E6997" s="15">
        <v>47.92</v>
      </c>
      <c r="F6997" s="16" t="s">
        <v>8</v>
      </c>
      <c r="G6997" s="14"/>
    </row>
    <row r="6998" spans="2:7" ht="22.5" outlineLevel="6" x14ac:dyDescent="0.2">
      <c r="B6998" s="14" t="s">
        <v>13199</v>
      </c>
      <c r="C6998" s="14" t="s">
        <v>13200</v>
      </c>
      <c r="D6998" s="14">
        <v>10</v>
      </c>
      <c r="E6998" s="15">
        <v>45.64</v>
      </c>
      <c r="F6998" s="16" t="s">
        <v>8</v>
      </c>
      <c r="G6998" s="14"/>
    </row>
    <row r="6999" spans="2:7" ht="22.5" outlineLevel="6" x14ac:dyDescent="0.2">
      <c r="B6999" s="14" t="s">
        <v>13201</v>
      </c>
      <c r="C6999" s="14" t="s">
        <v>13202</v>
      </c>
      <c r="D6999" s="14">
        <v>10</v>
      </c>
      <c r="E6999" s="15">
        <v>28.83</v>
      </c>
      <c r="F6999" s="16" t="s">
        <v>8</v>
      </c>
      <c r="G6999" s="14"/>
    </row>
    <row r="7000" spans="2:7" ht="22.5" outlineLevel="6" x14ac:dyDescent="0.2">
      <c r="B7000" s="14" t="s">
        <v>13203</v>
      </c>
      <c r="C7000" s="14" t="s">
        <v>13204</v>
      </c>
      <c r="D7000" s="14">
        <v>10</v>
      </c>
      <c r="E7000" s="15">
        <v>27.45</v>
      </c>
      <c r="F7000" s="16" t="s">
        <v>8</v>
      </c>
      <c r="G7000" s="14"/>
    </row>
    <row r="7001" spans="2:7" ht="11.25" outlineLevel="6" x14ac:dyDescent="0.2">
      <c r="B7001" s="14" t="s">
        <v>13205</v>
      </c>
      <c r="C7001" s="14" t="s">
        <v>13206</v>
      </c>
      <c r="D7001" s="14">
        <v>10</v>
      </c>
      <c r="E7001" s="15">
        <v>47.06</v>
      </c>
      <c r="F7001" s="16" t="s">
        <v>8</v>
      </c>
      <c r="G7001" s="38" t="str">
        <f>HYPERLINK("http://enext.ua/ins0010012")</f>
        <v>http://enext.ua/ins0010012</v>
      </c>
    </row>
    <row r="7002" spans="2:7" ht="22.5" outlineLevel="6" x14ac:dyDescent="0.2">
      <c r="B7002" s="14" t="s">
        <v>13207</v>
      </c>
      <c r="C7002" s="14" t="s">
        <v>13208</v>
      </c>
      <c r="D7002" s="14">
        <v>10</v>
      </c>
      <c r="E7002" s="15">
        <v>49.42</v>
      </c>
      <c r="F7002" s="16" t="s">
        <v>8</v>
      </c>
      <c r="G7002" s="14"/>
    </row>
    <row r="7003" spans="2:7" ht="22.5" outlineLevel="6" x14ac:dyDescent="0.2">
      <c r="B7003" s="14" t="s">
        <v>13209</v>
      </c>
      <c r="C7003" s="14" t="s">
        <v>13210</v>
      </c>
      <c r="D7003" s="14">
        <v>10</v>
      </c>
      <c r="E7003" s="15">
        <v>47.06</v>
      </c>
      <c r="F7003" s="16" t="s">
        <v>8</v>
      </c>
      <c r="G7003" s="14"/>
    </row>
    <row r="7004" spans="2:7" ht="11.25" outlineLevel="6" x14ac:dyDescent="0.2">
      <c r="B7004" s="14" t="s">
        <v>13211</v>
      </c>
      <c r="C7004" s="14" t="s">
        <v>13212</v>
      </c>
      <c r="D7004" s="14">
        <v>1</v>
      </c>
      <c r="E7004" s="15">
        <v>84.14</v>
      </c>
      <c r="F7004" s="16" t="s">
        <v>8</v>
      </c>
      <c r="G7004" s="38" t="str">
        <f>HYPERLINK("http://enext.ua/ins0010047")</f>
        <v>http://enext.ua/ins0010047</v>
      </c>
    </row>
    <row r="7005" spans="2:7" ht="11.25" outlineLevel="6" x14ac:dyDescent="0.2">
      <c r="B7005" s="14" t="s">
        <v>13213</v>
      </c>
      <c r="C7005" s="14" t="s">
        <v>13214</v>
      </c>
      <c r="D7005" s="14">
        <v>10</v>
      </c>
      <c r="E7005" s="15">
        <v>50.99</v>
      </c>
      <c r="F7005" s="16" t="s">
        <v>8</v>
      </c>
      <c r="G7005" s="38" t="str">
        <f>HYPERLINK("http://enext.ua/ins0010024")</f>
        <v>http://enext.ua/ins0010024</v>
      </c>
    </row>
    <row r="7006" spans="2:7" ht="22.5" outlineLevel="6" x14ac:dyDescent="0.2">
      <c r="B7006" s="14" t="s">
        <v>13215</v>
      </c>
      <c r="C7006" s="14" t="s">
        <v>13216</v>
      </c>
      <c r="D7006" s="14">
        <v>10</v>
      </c>
      <c r="E7006" s="15">
        <v>53.54</v>
      </c>
      <c r="F7006" s="16" t="s">
        <v>8</v>
      </c>
      <c r="G7006" s="14"/>
    </row>
    <row r="7007" spans="2:7" ht="11.25" outlineLevel="6" x14ac:dyDescent="0.2">
      <c r="B7007" s="14" t="s">
        <v>13217</v>
      </c>
      <c r="C7007" s="14" t="s">
        <v>13218</v>
      </c>
      <c r="D7007" s="14">
        <v>10</v>
      </c>
      <c r="E7007" s="15">
        <v>50.99</v>
      </c>
      <c r="F7007" s="16" t="s">
        <v>8</v>
      </c>
      <c r="G7007" s="14"/>
    </row>
    <row r="7008" spans="2:7" ht="11.25" outlineLevel="6" x14ac:dyDescent="0.2">
      <c r="B7008" s="14" t="s">
        <v>13219</v>
      </c>
      <c r="C7008" s="14" t="s">
        <v>13220</v>
      </c>
      <c r="D7008" s="14">
        <v>10</v>
      </c>
      <c r="E7008" s="15">
        <v>72.02</v>
      </c>
      <c r="F7008" s="16" t="s">
        <v>8</v>
      </c>
      <c r="G7008" s="38" t="str">
        <f>HYPERLINK("http://enext.ua/ins0010027")</f>
        <v>http://enext.ua/ins0010027</v>
      </c>
    </row>
    <row r="7009" spans="2:7" ht="22.5" outlineLevel="6" x14ac:dyDescent="0.2">
      <c r="B7009" s="14" t="s">
        <v>13221</v>
      </c>
      <c r="C7009" s="14" t="s">
        <v>13222</v>
      </c>
      <c r="D7009" s="14">
        <v>10</v>
      </c>
      <c r="E7009" s="15">
        <v>75.62</v>
      </c>
      <c r="F7009" s="16" t="s">
        <v>8</v>
      </c>
      <c r="G7009" s="14"/>
    </row>
    <row r="7010" spans="2:7" ht="22.5" outlineLevel="6" x14ac:dyDescent="0.2">
      <c r="B7010" s="14" t="s">
        <v>13223</v>
      </c>
      <c r="C7010" s="14" t="s">
        <v>13224</v>
      </c>
      <c r="D7010" s="14">
        <v>10</v>
      </c>
      <c r="E7010" s="15">
        <v>72.02</v>
      </c>
      <c r="F7010" s="16" t="s">
        <v>8</v>
      </c>
      <c r="G7010" s="14"/>
    </row>
    <row r="7011" spans="2:7" ht="22.5" outlineLevel="6" x14ac:dyDescent="0.2">
      <c r="B7011" s="14" t="s">
        <v>13225</v>
      </c>
      <c r="C7011" s="14" t="s">
        <v>13226</v>
      </c>
      <c r="D7011" s="14">
        <v>10</v>
      </c>
      <c r="E7011" s="15">
        <v>49.79</v>
      </c>
      <c r="F7011" s="16" t="s">
        <v>8</v>
      </c>
      <c r="G7011" s="14"/>
    </row>
    <row r="7012" spans="2:7" ht="22.5" outlineLevel="6" x14ac:dyDescent="0.2">
      <c r="B7012" s="14" t="s">
        <v>13227</v>
      </c>
      <c r="C7012" s="14" t="s">
        <v>13228</v>
      </c>
      <c r="D7012" s="14">
        <v>10</v>
      </c>
      <c r="E7012" s="15">
        <v>47.42</v>
      </c>
      <c r="F7012" s="16" t="s">
        <v>8</v>
      </c>
      <c r="G7012" s="14"/>
    </row>
    <row r="7013" spans="2:7" ht="11.25" outlineLevel="6" x14ac:dyDescent="0.2">
      <c r="B7013" s="14" t="s">
        <v>13229</v>
      </c>
      <c r="C7013" s="14" t="s">
        <v>13230</v>
      </c>
      <c r="D7013" s="14">
        <v>10</v>
      </c>
      <c r="E7013" s="15">
        <v>59.54</v>
      </c>
      <c r="F7013" s="16" t="s">
        <v>8</v>
      </c>
      <c r="G7013" s="38" t="str">
        <f>HYPERLINK("http://enext.ua/ins0040073")</f>
        <v>http://enext.ua/ins0040073</v>
      </c>
    </row>
    <row r="7014" spans="2:7" ht="22.5" outlineLevel="6" x14ac:dyDescent="0.2">
      <c r="B7014" s="14" t="s">
        <v>13231</v>
      </c>
      <c r="C7014" s="14" t="s">
        <v>13232</v>
      </c>
      <c r="D7014" s="14">
        <v>10</v>
      </c>
      <c r="E7014" s="15">
        <v>62.52</v>
      </c>
      <c r="F7014" s="16" t="s">
        <v>8</v>
      </c>
      <c r="G7014" s="14"/>
    </row>
    <row r="7015" spans="2:7" ht="22.5" outlineLevel="6" x14ac:dyDescent="0.2">
      <c r="B7015" s="14" t="s">
        <v>13233</v>
      </c>
      <c r="C7015" s="14" t="s">
        <v>13234</v>
      </c>
      <c r="D7015" s="14">
        <v>10</v>
      </c>
      <c r="E7015" s="15">
        <v>59.54</v>
      </c>
      <c r="F7015" s="16" t="s">
        <v>8</v>
      </c>
      <c r="G7015" s="14"/>
    </row>
    <row r="7016" spans="2:7" ht="12" outlineLevel="5" x14ac:dyDescent="0.2">
      <c r="B7016" s="18"/>
      <c r="C7016" s="39" t="s">
        <v>13235</v>
      </c>
      <c r="D7016" s="18"/>
      <c r="E7016" s="19"/>
      <c r="F7016" s="19"/>
      <c r="G7016" s="18"/>
    </row>
    <row r="7017" spans="2:7" ht="11.25" outlineLevel="6" x14ac:dyDescent="0.2">
      <c r="B7017" s="14" t="s">
        <v>13236</v>
      </c>
      <c r="C7017" s="14" t="s">
        <v>13237</v>
      </c>
      <c r="D7017" s="14">
        <v>10</v>
      </c>
      <c r="E7017" s="15">
        <v>204.66</v>
      </c>
      <c r="F7017" s="16" t="s">
        <v>8</v>
      </c>
      <c r="G7017" s="38" t="str">
        <f>HYPERLINK("http://enext.ua/ins0010045")</f>
        <v>http://enext.ua/ins0010045</v>
      </c>
    </row>
    <row r="7018" spans="2:7" ht="11.25" outlineLevel="6" x14ac:dyDescent="0.2">
      <c r="B7018" s="14" t="s">
        <v>13238</v>
      </c>
      <c r="C7018" s="14" t="s">
        <v>13239</v>
      </c>
      <c r="D7018" s="14">
        <v>10</v>
      </c>
      <c r="E7018" s="15">
        <v>214.89</v>
      </c>
      <c r="F7018" s="16" t="s">
        <v>8</v>
      </c>
      <c r="G7018" s="14"/>
    </row>
    <row r="7019" spans="2:7" ht="11.25" outlineLevel="6" x14ac:dyDescent="0.2">
      <c r="B7019" s="14" t="s">
        <v>13240</v>
      </c>
      <c r="C7019" s="14" t="s">
        <v>13241</v>
      </c>
      <c r="D7019" s="14">
        <v>10</v>
      </c>
      <c r="E7019" s="15">
        <v>204.66</v>
      </c>
      <c r="F7019" s="16" t="s">
        <v>8</v>
      </c>
      <c r="G7019" s="14"/>
    </row>
    <row r="7020" spans="2:7" ht="12" outlineLevel="5" x14ac:dyDescent="0.2">
      <c r="B7020" s="18"/>
      <c r="C7020" s="39" t="s">
        <v>13242</v>
      </c>
      <c r="D7020" s="18"/>
      <c r="E7020" s="19"/>
      <c r="F7020" s="19"/>
      <c r="G7020" s="18"/>
    </row>
    <row r="7021" spans="2:7" ht="11.25" outlineLevel="6" x14ac:dyDescent="0.2">
      <c r="B7021" s="14" t="s">
        <v>13243</v>
      </c>
      <c r="C7021" s="14" t="s">
        <v>13244</v>
      </c>
      <c r="D7021" s="14">
        <v>1</v>
      </c>
      <c r="E7021" s="15">
        <v>26.03</v>
      </c>
      <c r="F7021" s="16" t="s">
        <v>8</v>
      </c>
      <c r="G7021" s="38" t="str">
        <f>HYPERLINK("http://enext.ua/ins0010039")</f>
        <v>http://enext.ua/ins0010039</v>
      </c>
    </row>
    <row r="7022" spans="2:7" ht="11.25" outlineLevel="6" x14ac:dyDescent="0.2">
      <c r="B7022" s="14" t="s">
        <v>13245</v>
      </c>
      <c r="C7022" s="14" t="s">
        <v>13246</v>
      </c>
      <c r="D7022" s="14">
        <v>10</v>
      </c>
      <c r="E7022" s="15">
        <v>27.33</v>
      </c>
      <c r="F7022" s="16" t="s">
        <v>8</v>
      </c>
      <c r="G7022" s="14"/>
    </row>
    <row r="7023" spans="2:7" ht="11.25" outlineLevel="6" x14ac:dyDescent="0.2">
      <c r="B7023" s="14" t="s">
        <v>13247</v>
      </c>
      <c r="C7023" s="14" t="s">
        <v>13248</v>
      </c>
      <c r="D7023" s="14">
        <v>10</v>
      </c>
      <c r="E7023" s="15">
        <v>26.03</v>
      </c>
      <c r="F7023" s="16" t="s">
        <v>8</v>
      </c>
      <c r="G7023" s="14"/>
    </row>
    <row r="7024" spans="2:7" ht="11.25" outlineLevel="6" x14ac:dyDescent="0.2">
      <c r="B7024" s="14" t="s">
        <v>13249</v>
      </c>
      <c r="C7024" s="14" t="s">
        <v>13250</v>
      </c>
      <c r="D7024" s="14">
        <v>10</v>
      </c>
      <c r="E7024" s="15">
        <v>27.1</v>
      </c>
      <c r="F7024" s="16" t="s">
        <v>8</v>
      </c>
      <c r="G7024" s="14"/>
    </row>
    <row r="7025" spans="2:7" ht="11.25" outlineLevel="6" x14ac:dyDescent="0.2">
      <c r="B7025" s="14" t="s">
        <v>13251</v>
      </c>
      <c r="C7025" s="14" t="s">
        <v>13252</v>
      </c>
      <c r="D7025" s="14">
        <v>16</v>
      </c>
      <c r="E7025" s="15">
        <v>36.369999999999997</v>
      </c>
      <c r="F7025" s="16" t="s">
        <v>8</v>
      </c>
      <c r="G7025" s="38" t="str">
        <f>HYPERLINK("http://enext.ua/ins0010030")</f>
        <v>http://enext.ua/ins0010030</v>
      </c>
    </row>
    <row r="7026" spans="2:7" ht="22.5" outlineLevel="6" x14ac:dyDescent="0.2">
      <c r="B7026" s="14" t="s">
        <v>13253</v>
      </c>
      <c r="C7026" s="14" t="s">
        <v>13254</v>
      </c>
      <c r="D7026" s="14">
        <v>10</v>
      </c>
      <c r="E7026" s="15">
        <v>38.19</v>
      </c>
      <c r="F7026" s="16" t="s">
        <v>8</v>
      </c>
      <c r="G7026" s="14"/>
    </row>
    <row r="7027" spans="2:7" ht="22.5" outlineLevel="6" x14ac:dyDescent="0.2">
      <c r="B7027" s="14" t="s">
        <v>13255</v>
      </c>
      <c r="C7027" s="14" t="s">
        <v>13256</v>
      </c>
      <c r="D7027" s="14">
        <v>16</v>
      </c>
      <c r="E7027" s="15">
        <v>36.369999999999997</v>
      </c>
      <c r="F7027" s="16" t="s">
        <v>8</v>
      </c>
      <c r="G7027" s="14"/>
    </row>
    <row r="7028" spans="2:7" ht="11.25" outlineLevel="6" x14ac:dyDescent="0.2">
      <c r="B7028" s="14" t="s">
        <v>13257</v>
      </c>
      <c r="C7028" s="14" t="s">
        <v>13258</v>
      </c>
      <c r="D7028" s="14">
        <v>1</v>
      </c>
      <c r="E7028" s="15">
        <v>47.42</v>
      </c>
      <c r="F7028" s="16" t="s">
        <v>8</v>
      </c>
      <c r="G7028" s="38" t="str">
        <f>HYPERLINK("http://enext.ua/ins0010046")</f>
        <v>http://enext.ua/ins0010046</v>
      </c>
    </row>
    <row r="7029" spans="2:7" ht="11.25" outlineLevel="6" x14ac:dyDescent="0.2">
      <c r="B7029" s="14" t="s">
        <v>13259</v>
      </c>
      <c r="C7029" s="14" t="s">
        <v>13260</v>
      </c>
      <c r="D7029" s="14">
        <v>16</v>
      </c>
      <c r="E7029" s="15">
        <v>99.12</v>
      </c>
      <c r="F7029" s="16" t="s">
        <v>8</v>
      </c>
      <c r="G7029" s="38" t="str">
        <f>HYPERLINK("http://enext.ua/ins0010033")</f>
        <v>http://enext.ua/ins0010033</v>
      </c>
    </row>
    <row r="7030" spans="2:7" ht="11.25" outlineLevel="6" x14ac:dyDescent="0.2">
      <c r="B7030" s="14" t="s">
        <v>13261</v>
      </c>
      <c r="C7030" s="14" t="s">
        <v>13262</v>
      </c>
      <c r="D7030" s="14">
        <v>16</v>
      </c>
      <c r="E7030" s="15">
        <v>110.89</v>
      </c>
      <c r="F7030" s="16" t="s">
        <v>8</v>
      </c>
      <c r="G7030" s="38" t="str">
        <f>HYPERLINK("http://enext.ua/ins0010036")</f>
        <v>http://enext.ua/ins0010036</v>
      </c>
    </row>
    <row r="7031" spans="2:7" ht="22.5" outlineLevel="6" x14ac:dyDescent="0.2">
      <c r="B7031" s="14" t="s">
        <v>13263</v>
      </c>
      <c r="C7031" s="14" t="s">
        <v>13264</v>
      </c>
      <c r="D7031" s="14">
        <v>10</v>
      </c>
      <c r="E7031" s="15">
        <v>116.43</v>
      </c>
      <c r="F7031" s="16" t="s">
        <v>8</v>
      </c>
      <c r="G7031" s="14"/>
    </row>
    <row r="7032" spans="2:7" ht="22.5" outlineLevel="6" x14ac:dyDescent="0.2">
      <c r="B7032" s="14" t="s">
        <v>13265</v>
      </c>
      <c r="C7032" s="14" t="s">
        <v>13266</v>
      </c>
      <c r="D7032" s="14">
        <v>16</v>
      </c>
      <c r="E7032" s="15">
        <v>110.89</v>
      </c>
      <c r="F7032" s="16" t="s">
        <v>8</v>
      </c>
      <c r="G7032" s="14"/>
    </row>
    <row r="7033" spans="2:7" ht="12" outlineLevel="4" x14ac:dyDescent="0.2">
      <c r="B7033" s="12"/>
      <c r="C7033" s="37" t="s">
        <v>13267</v>
      </c>
      <c r="D7033" s="12"/>
      <c r="E7033" s="13"/>
      <c r="F7033" s="13"/>
      <c r="G7033" s="12"/>
    </row>
    <row r="7034" spans="2:7" ht="12" outlineLevel="5" x14ac:dyDescent="0.2">
      <c r="B7034" s="18"/>
      <c r="C7034" s="39" t="s">
        <v>13268</v>
      </c>
      <c r="D7034" s="18"/>
      <c r="E7034" s="19"/>
      <c r="F7034" s="19"/>
      <c r="G7034" s="18"/>
    </row>
    <row r="7035" spans="2:7" ht="11.25" outlineLevel="6" x14ac:dyDescent="0.2">
      <c r="B7035" s="14" t="s">
        <v>13269</v>
      </c>
      <c r="C7035" s="14" t="s">
        <v>13270</v>
      </c>
      <c r="D7035" s="14">
        <v>1</v>
      </c>
      <c r="E7035" s="15">
        <v>84.5</v>
      </c>
      <c r="F7035" s="16" t="s">
        <v>8</v>
      </c>
      <c r="G7035" s="38" t="str">
        <f>HYPERLINK("http://enext.ua/ins0040083")</f>
        <v>http://enext.ua/ins0040083</v>
      </c>
    </row>
    <row r="7036" spans="2:7" ht="11.25" outlineLevel="6" x14ac:dyDescent="0.2">
      <c r="B7036" s="14" t="s">
        <v>13271</v>
      </c>
      <c r="C7036" s="14" t="s">
        <v>13272</v>
      </c>
      <c r="D7036" s="14">
        <v>1</v>
      </c>
      <c r="E7036" s="15">
        <v>84.14</v>
      </c>
      <c r="F7036" s="16" t="s">
        <v>8</v>
      </c>
      <c r="G7036" s="38" t="str">
        <f>HYPERLINK("http://enext.ua/ins0040082")</f>
        <v>http://enext.ua/ins0040082</v>
      </c>
    </row>
    <row r="7037" spans="2:7" ht="11.25" outlineLevel="6" x14ac:dyDescent="0.2">
      <c r="B7037" s="14" t="s">
        <v>13273</v>
      </c>
      <c r="C7037" s="14" t="s">
        <v>13274</v>
      </c>
      <c r="D7037" s="14">
        <v>1</v>
      </c>
      <c r="E7037" s="15">
        <v>21.75</v>
      </c>
      <c r="F7037" s="16" t="s">
        <v>8</v>
      </c>
      <c r="G7037" s="38" t="str">
        <f>HYPERLINK("http://enext.ua/ins0040080")</f>
        <v>http://enext.ua/ins0040080</v>
      </c>
    </row>
    <row r="7038" spans="2:7" ht="11.25" outlineLevel="6" x14ac:dyDescent="0.2">
      <c r="B7038" s="14" t="s">
        <v>13275</v>
      </c>
      <c r="C7038" s="14" t="s">
        <v>13276</v>
      </c>
      <c r="D7038" s="14">
        <v>1</v>
      </c>
      <c r="E7038" s="15">
        <v>84.14</v>
      </c>
      <c r="F7038" s="16" t="s">
        <v>8</v>
      </c>
      <c r="G7038" s="38" t="str">
        <f>HYPERLINK("http://enext.ua/ins0040081")</f>
        <v>http://enext.ua/ins0040081</v>
      </c>
    </row>
    <row r="7039" spans="2:7" ht="11.25" outlineLevel="6" x14ac:dyDescent="0.2">
      <c r="B7039" s="14" t="s">
        <v>13277</v>
      </c>
      <c r="C7039" s="14" t="s">
        <v>13278</v>
      </c>
      <c r="D7039" s="14">
        <v>1</v>
      </c>
      <c r="E7039" s="15">
        <v>21.75</v>
      </c>
      <c r="F7039" s="16" t="s">
        <v>8</v>
      </c>
      <c r="G7039" s="38" t="str">
        <f>HYPERLINK("http://enext.ua/ins0040079")</f>
        <v>http://enext.ua/ins0040079</v>
      </c>
    </row>
    <row r="7040" spans="2:7" ht="12" outlineLevel="5" x14ac:dyDescent="0.2">
      <c r="B7040" s="18"/>
      <c r="C7040" s="39" t="s">
        <v>13279</v>
      </c>
      <c r="D7040" s="18"/>
      <c r="E7040" s="19"/>
      <c r="F7040" s="19"/>
      <c r="G7040" s="18"/>
    </row>
    <row r="7041" spans="2:7" ht="11.25" outlineLevel="6" x14ac:dyDescent="0.2">
      <c r="B7041" s="14" t="s">
        <v>13280</v>
      </c>
      <c r="C7041" s="14" t="s">
        <v>13281</v>
      </c>
      <c r="D7041" s="14">
        <v>1</v>
      </c>
      <c r="E7041" s="15">
        <v>46.35</v>
      </c>
      <c r="F7041" s="16" t="s">
        <v>8</v>
      </c>
      <c r="G7041" s="38" t="str">
        <f>HYPERLINK("http://enext.ua/ins0040102")</f>
        <v>http://enext.ua/ins0040102</v>
      </c>
    </row>
    <row r="7042" spans="2:7" ht="11.25" outlineLevel="6" x14ac:dyDescent="0.2">
      <c r="B7042" s="14" t="s">
        <v>13282</v>
      </c>
      <c r="C7042" s="14" t="s">
        <v>13283</v>
      </c>
      <c r="D7042" s="14">
        <v>40</v>
      </c>
      <c r="E7042" s="15">
        <v>28.52</v>
      </c>
      <c r="F7042" s="16" t="s">
        <v>8</v>
      </c>
      <c r="G7042" s="38" t="str">
        <f>HYPERLINK("http://enext.ua/ins0040036")</f>
        <v>http://enext.ua/ins0040036</v>
      </c>
    </row>
    <row r="7043" spans="2:7" ht="22.5" outlineLevel="6" x14ac:dyDescent="0.2">
      <c r="B7043" s="14" t="s">
        <v>13284</v>
      </c>
      <c r="C7043" s="14" t="s">
        <v>13285</v>
      </c>
      <c r="D7043" s="14">
        <v>10</v>
      </c>
      <c r="E7043" s="15">
        <v>29.95</v>
      </c>
      <c r="F7043" s="16" t="s">
        <v>8</v>
      </c>
      <c r="G7043" s="14"/>
    </row>
    <row r="7044" spans="2:7" ht="22.5" outlineLevel="6" x14ac:dyDescent="0.2">
      <c r="B7044" s="14" t="s">
        <v>13286</v>
      </c>
      <c r="C7044" s="14" t="s">
        <v>13287</v>
      </c>
      <c r="D7044" s="14">
        <v>40</v>
      </c>
      <c r="E7044" s="15">
        <v>28.52</v>
      </c>
      <c r="F7044" s="16" t="s">
        <v>8</v>
      </c>
      <c r="G7044" s="14"/>
    </row>
    <row r="7045" spans="2:7" ht="11.25" outlineLevel="6" x14ac:dyDescent="0.2">
      <c r="B7045" s="14" t="s">
        <v>13288</v>
      </c>
      <c r="C7045" s="14" t="s">
        <v>13289</v>
      </c>
      <c r="D7045" s="14">
        <v>40</v>
      </c>
      <c r="E7045" s="15">
        <v>8.91</v>
      </c>
      <c r="F7045" s="16" t="s">
        <v>8</v>
      </c>
      <c r="G7045" s="38" t="str">
        <f>HYPERLINK("http://enext.ua/ins0040034")</f>
        <v>http://enext.ua/ins0040034</v>
      </c>
    </row>
    <row r="7046" spans="2:7" ht="22.5" outlineLevel="6" x14ac:dyDescent="0.2">
      <c r="B7046" s="14" t="s">
        <v>13290</v>
      </c>
      <c r="C7046" s="14" t="s">
        <v>13291</v>
      </c>
      <c r="D7046" s="14">
        <v>20</v>
      </c>
      <c r="E7046" s="15">
        <v>9.36</v>
      </c>
      <c r="F7046" s="16" t="s">
        <v>8</v>
      </c>
      <c r="G7046" s="14"/>
    </row>
    <row r="7047" spans="2:7" ht="22.5" outlineLevel="6" x14ac:dyDescent="0.2">
      <c r="B7047" s="14" t="s">
        <v>13292</v>
      </c>
      <c r="C7047" s="14" t="s">
        <v>13293</v>
      </c>
      <c r="D7047" s="14">
        <v>40</v>
      </c>
      <c r="E7047" s="15">
        <v>8.91</v>
      </c>
      <c r="F7047" s="16" t="s">
        <v>8</v>
      </c>
      <c r="G7047" s="14"/>
    </row>
    <row r="7048" spans="2:7" ht="11.25" outlineLevel="6" x14ac:dyDescent="0.2">
      <c r="B7048" s="14" t="s">
        <v>13294</v>
      </c>
      <c r="C7048" s="14" t="s">
        <v>13295</v>
      </c>
      <c r="D7048" s="14">
        <v>40</v>
      </c>
      <c r="E7048" s="15">
        <v>28.52</v>
      </c>
      <c r="F7048" s="16" t="s">
        <v>8</v>
      </c>
      <c r="G7048" s="38" t="str">
        <f>HYPERLINK("http://enext.ua/ins0040035")</f>
        <v>http://enext.ua/ins0040035</v>
      </c>
    </row>
    <row r="7049" spans="2:7" ht="11.25" outlineLevel="6" x14ac:dyDescent="0.2">
      <c r="B7049" s="14" t="s">
        <v>13296</v>
      </c>
      <c r="C7049" s="14" t="s">
        <v>13297</v>
      </c>
      <c r="D7049" s="14">
        <v>20</v>
      </c>
      <c r="E7049" s="15">
        <v>29.95</v>
      </c>
      <c r="F7049" s="16" t="s">
        <v>8</v>
      </c>
      <c r="G7049" s="14"/>
    </row>
    <row r="7050" spans="2:7" ht="11.25" outlineLevel="6" x14ac:dyDescent="0.2">
      <c r="B7050" s="14" t="s">
        <v>13298</v>
      </c>
      <c r="C7050" s="14" t="s">
        <v>13299</v>
      </c>
      <c r="D7050" s="14">
        <v>40</v>
      </c>
      <c r="E7050" s="15">
        <v>28.52</v>
      </c>
      <c r="F7050" s="16" t="s">
        <v>8</v>
      </c>
      <c r="G7050" s="14"/>
    </row>
    <row r="7051" spans="2:7" ht="11.25" outlineLevel="6" x14ac:dyDescent="0.2">
      <c r="B7051" s="14" t="s">
        <v>13300</v>
      </c>
      <c r="C7051" s="14" t="s">
        <v>13301</v>
      </c>
      <c r="D7051" s="14">
        <v>40</v>
      </c>
      <c r="E7051" s="15">
        <v>8.91</v>
      </c>
      <c r="F7051" s="16" t="s">
        <v>8</v>
      </c>
      <c r="G7051" s="38" t="str">
        <f>HYPERLINK("http://enext.ua/ins0040033")</f>
        <v>http://enext.ua/ins0040033</v>
      </c>
    </row>
    <row r="7052" spans="2:7" ht="11.25" outlineLevel="6" x14ac:dyDescent="0.2">
      <c r="B7052" s="14" t="s">
        <v>13302</v>
      </c>
      <c r="C7052" s="14" t="s">
        <v>13303</v>
      </c>
      <c r="D7052" s="14">
        <v>20</v>
      </c>
      <c r="E7052" s="15">
        <v>9.36</v>
      </c>
      <c r="F7052" s="16" t="s">
        <v>8</v>
      </c>
      <c r="G7052" s="14"/>
    </row>
    <row r="7053" spans="2:7" ht="11.25" outlineLevel="6" x14ac:dyDescent="0.2">
      <c r="B7053" s="14" t="s">
        <v>13304</v>
      </c>
      <c r="C7053" s="14" t="s">
        <v>13305</v>
      </c>
      <c r="D7053" s="14">
        <v>40</v>
      </c>
      <c r="E7053" s="15">
        <v>8.91</v>
      </c>
      <c r="F7053" s="16" t="s">
        <v>8</v>
      </c>
      <c r="G7053" s="14"/>
    </row>
    <row r="7054" spans="2:7" ht="12" outlineLevel="5" x14ac:dyDescent="0.2">
      <c r="B7054" s="18"/>
      <c r="C7054" s="39" t="s">
        <v>13306</v>
      </c>
      <c r="D7054" s="18"/>
      <c r="E7054" s="19"/>
      <c r="F7054" s="19"/>
      <c r="G7054" s="18"/>
    </row>
    <row r="7055" spans="2:7" ht="22.5" outlineLevel="6" x14ac:dyDescent="0.2">
      <c r="B7055" s="14" t="s">
        <v>13307</v>
      </c>
      <c r="C7055" s="14" t="s">
        <v>13308</v>
      </c>
      <c r="D7055" s="14">
        <v>20</v>
      </c>
      <c r="E7055" s="15">
        <v>7.49</v>
      </c>
      <c r="F7055" s="16" t="s">
        <v>8</v>
      </c>
      <c r="G7055" s="14"/>
    </row>
    <row r="7056" spans="2:7" ht="22.5" outlineLevel="6" x14ac:dyDescent="0.2">
      <c r="B7056" s="14" t="s">
        <v>13309</v>
      </c>
      <c r="C7056" s="14" t="s">
        <v>13310</v>
      </c>
      <c r="D7056" s="14">
        <v>20</v>
      </c>
      <c r="E7056" s="15">
        <v>7.49</v>
      </c>
      <c r="F7056" s="16" t="s">
        <v>8</v>
      </c>
      <c r="G7056" s="14"/>
    </row>
    <row r="7057" spans="2:7" ht="12" outlineLevel="5" x14ac:dyDescent="0.2">
      <c r="B7057" s="18"/>
      <c r="C7057" s="39" t="s">
        <v>13311</v>
      </c>
      <c r="D7057" s="18"/>
      <c r="E7057" s="19"/>
      <c r="F7057" s="19"/>
      <c r="G7057" s="18"/>
    </row>
    <row r="7058" spans="2:7" ht="22.5" outlineLevel="6" x14ac:dyDescent="0.2">
      <c r="B7058" s="14" t="s">
        <v>13312</v>
      </c>
      <c r="C7058" s="14" t="s">
        <v>13313</v>
      </c>
      <c r="D7058" s="14">
        <v>1</v>
      </c>
      <c r="E7058" s="15">
        <v>43.14</v>
      </c>
      <c r="F7058" s="16" t="s">
        <v>8</v>
      </c>
      <c r="G7058" s="38" t="str">
        <f>HYPERLINK("http://enext.ua/ins0040101")</f>
        <v>http://enext.ua/ins0040101</v>
      </c>
    </row>
    <row r="7059" spans="2:7" ht="22.5" outlineLevel="6" x14ac:dyDescent="0.2">
      <c r="B7059" s="14" t="s">
        <v>13314</v>
      </c>
      <c r="C7059" s="14" t="s">
        <v>13315</v>
      </c>
      <c r="D7059" s="14">
        <v>20</v>
      </c>
      <c r="E7059" s="15">
        <v>34.229999999999997</v>
      </c>
      <c r="F7059" s="16" t="s">
        <v>8</v>
      </c>
      <c r="G7059" s="38" t="str">
        <f>HYPERLINK("http://enext.ua/ins0040032")</f>
        <v>http://enext.ua/ins0040032</v>
      </c>
    </row>
    <row r="7060" spans="2:7" ht="22.5" outlineLevel="6" x14ac:dyDescent="0.2">
      <c r="B7060" s="14" t="s">
        <v>13316</v>
      </c>
      <c r="C7060" s="14" t="s">
        <v>13317</v>
      </c>
      <c r="D7060" s="14">
        <v>20</v>
      </c>
      <c r="E7060" s="15">
        <v>35.94</v>
      </c>
      <c r="F7060" s="16" t="s">
        <v>8</v>
      </c>
      <c r="G7060" s="14"/>
    </row>
    <row r="7061" spans="2:7" ht="22.5" outlineLevel="6" x14ac:dyDescent="0.2">
      <c r="B7061" s="14" t="s">
        <v>13318</v>
      </c>
      <c r="C7061" s="14" t="s">
        <v>13319</v>
      </c>
      <c r="D7061" s="14">
        <v>20</v>
      </c>
      <c r="E7061" s="15">
        <v>34.229999999999997</v>
      </c>
      <c r="F7061" s="16" t="s">
        <v>8</v>
      </c>
      <c r="G7061" s="14"/>
    </row>
    <row r="7062" spans="2:7" ht="22.5" outlineLevel="6" x14ac:dyDescent="0.2">
      <c r="B7062" s="14" t="s">
        <v>13320</v>
      </c>
      <c r="C7062" s="14" t="s">
        <v>13321</v>
      </c>
      <c r="D7062" s="14">
        <v>20</v>
      </c>
      <c r="E7062" s="15">
        <v>7.84</v>
      </c>
      <c r="F7062" s="16" t="s">
        <v>8</v>
      </c>
      <c r="G7062" s="38" t="str">
        <f>HYPERLINK("http://enext.ua/ins0040030")</f>
        <v>http://enext.ua/ins0040030</v>
      </c>
    </row>
    <row r="7063" spans="2:7" ht="11.25" outlineLevel="6" x14ac:dyDescent="0.2">
      <c r="B7063" s="14" t="s">
        <v>13322</v>
      </c>
      <c r="C7063" s="14" t="s">
        <v>13323</v>
      </c>
      <c r="D7063" s="14">
        <v>20</v>
      </c>
      <c r="E7063" s="15">
        <v>34.229999999999997</v>
      </c>
      <c r="F7063" s="16" t="s">
        <v>8</v>
      </c>
      <c r="G7063" s="38" t="str">
        <f>HYPERLINK("http://enext.ua/ins0040031")</f>
        <v>http://enext.ua/ins0040031</v>
      </c>
    </row>
    <row r="7064" spans="2:7" ht="22.5" outlineLevel="6" x14ac:dyDescent="0.2">
      <c r="B7064" s="14" t="s">
        <v>13324</v>
      </c>
      <c r="C7064" s="14" t="s">
        <v>13325</v>
      </c>
      <c r="D7064" s="14">
        <v>20</v>
      </c>
      <c r="E7064" s="15">
        <v>35.94</v>
      </c>
      <c r="F7064" s="16" t="s">
        <v>8</v>
      </c>
      <c r="G7064" s="14"/>
    </row>
    <row r="7065" spans="2:7" ht="22.5" outlineLevel="6" x14ac:dyDescent="0.2">
      <c r="B7065" s="14" t="s">
        <v>13326</v>
      </c>
      <c r="C7065" s="14" t="s">
        <v>13327</v>
      </c>
      <c r="D7065" s="14">
        <v>20</v>
      </c>
      <c r="E7065" s="15">
        <v>34.229999999999997</v>
      </c>
      <c r="F7065" s="16" t="s">
        <v>8</v>
      </c>
      <c r="G7065" s="14"/>
    </row>
    <row r="7066" spans="2:7" ht="11.25" outlineLevel="6" x14ac:dyDescent="0.2">
      <c r="B7066" s="14" t="s">
        <v>13328</v>
      </c>
      <c r="C7066" s="14" t="s">
        <v>13329</v>
      </c>
      <c r="D7066" s="14">
        <v>20</v>
      </c>
      <c r="E7066" s="15">
        <v>6.06</v>
      </c>
      <c r="F7066" s="16" t="s">
        <v>8</v>
      </c>
      <c r="G7066" s="38" t="str">
        <f>HYPERLINK("http://enext.ua/ins0040029")</f>
        <v>http://enext.ua/ins0040029</v>
      </c>
    </row>
    <row r="7067" spans="2:7" ht="22.5" outlineLevel="6" x14ac:dyDescent="0.2">
      <c r="B7067" s="14" t="s">
        <v>13330</v>
      </c>
      <c r="C7067" s="14" t="s">
        <v>13331</v>
      </c>
      <c r="D7067" s="14">
        <v>20</v>
      </c>
      <c r="E7067" s="15">
        <v>6.36</v>
      </c>
      <c r="F7067" s="16" t="s">
        <v>8</v>
      </c>
      <c r="G7067" s="14"/>
    </row>
    <row r="7068" spans="2:7" ht="22.5" outlineLevel="6" x14ac:dyDescent="0.2">
      <c r="B7068" s="14" t="s">
        <v>13332</v>
      </c>
      <c r="C7068" s="14" t="s">
        <v>13333</v>
      </c>
      <c r="D7068" s="14">
        <v>20</v>
      </c>
      <c r="E7068" s="15">
        <v>6.06</v>
      </c>
      <c r="F7068" s="16" t="s">
        <v>8</v>
      </c>
      <c r="G7068" s="14"/>
    </row>
    <row r="7069" spans="2:7" ht="12" outlineLevel="5" x14ac:dyDescent="0.2">
      <c r="B7069" s="18"/>
      <c r="C7069" s="39" t="s">
        <v>13334</v>
      </c>
      <c r="D7069" s="18"/>
      <c r="E7069" s="19"/>
      <c r="F7069" s="19"/>
      <c r="G7069" s="18"/>
    </row>
    <row r="7070" spans="2:7" ht="22.5" outlineLevel="6" x14ac:dyDescent="0.2">
      <c r="B7070" s="14" t="s">
        <v>13335</v>
      </c>
      <c r="C7070" s="14" t="s">
        <v>13336</v>
      </c>
      <c r="D7070" s="14">
        <v>20</v>
      </c>
      <c r="E7070" s="15">
        <v>29.2</v>
      </c>
      <c r="F7070" s="16" t="s">
        <v>8</v>
      </c>
      <c r="G7070" s="14"/>
    </row>
    <row r="7071" spans="2:7" ht="11.25" outlineLevel="6" x14ac:dyDescent="0.2">
      <c r="B7071" s="14" t="s">
        <v>13337</v>
      </c>
      <c r="C7071" s="14" t="s">
        <v>13338</v>
      </c>
      <c r="D7071" s="14">
        <v>20</v>
      </c>
      <c r="E7071" s="15">
        <v>27.81</v>
      </c>
      <c r="F7071" s="16" t="s">
        <v>8</v>
      </c>
      <c r="G7071" s="14"/>
    </row>
    <row r="7072" spans="2:7" ht="12" outlineLevel="5" x14ac:dyDescent="0.2">
      <c r="B7072" s="18"/>
      <c r="C7072" s="39" t="s">
        <v>13339</v>
      </c>
      <c r="D7072" s="18"/>
      <c r="E7072" s="19"/>
      <c r="F7072" s="19"/>
      <c r="G7072" s="18"/>
    </row>
    <row r="7073" spans="2:7" ht="11.25" outlineLevel="6" x14ac:dyDescent="0.2">
      <c r="B7073" s="14" t="s">
        <v>13340</v>
      </c>
      <c r="C7073" s="14" t="s">
        <v>13341</v>
      </c>
      <c r="D7073" s="14">
        <v>1</v>
      </c>
      <c r="E7073" s="15">
        <v>41</v>
      </c>
      <c r="F7073" s="16" t="s">
        <v>8</v>
      </c>
      <c r="G7073" s="38" t="str">
        <f>HYPERLINK("http://enext.ua/ins0040078")</f>
        <v>http://enext.ua/ins0040078</v>
      </c>
    </row>
    <row r="7074" spans="2:7" ht="11.25" outlineLevel="6" x14ac:dyDescent="0.2">
      <c r="B7074" s="14" t="s">
        <v>13342</v>
      </c>
      <c r="C7074" s="14" t="s">
        <v>13343</v>
      </c>
      <c r="D7074" s="14">
        <v>1</v>
      </c>
      <c r="E7074" s="15">
        <v>41.36</v>
      </c>
      <c r="F7074" s="16" t="s">
        <v>8</v>
      </c>
      <c r="G7074" s="38" t="str">
        <f>HYPERLINK("http://enext.ua/ins0040077")</f>
        <v>http://enext.ua/ins0040077</v>
      </c>
    </row>
    <row r="7075" spans="2:7" ht="11.25" outlineLevel="6" x14ac:dyDescent="0.2">
      <c r="B7075" s="14" t="s">
        <v>13344</v>
      </c>
      <c r="C7075" s="14" t="s">
        <v>13345</v>
      </c>
      <c r="D7075" s="14">
        <v>1</v>
      </c>
      <c r="E7075" s="15">
        <v>8.91</v>
      </c>
      <c r="F7075" s="16" t="s">
        <v>8</v>
      </c>
      <c r="G7075" s="38" t="str">
        <f>HYPERLINK("http://enext.ua/ins0040075")</f>
        <v>http://enext.ua/ins0040075</v>
      </c>
    </row>
    <row r="7076" spans="2:7" ht="11.25" outlineLevel="6" x14ac:dyDescent="0.2">
      <c r="B7076" s="14" t="s">
        <v>13346</v>
      </c>
      <c r="C7076" s="14" t="s">
        <v>13347</v>
      </c>
      <c r="D7076" s="14">
        <v>1</v>
      </c>
      <c r="E7076" s="15">
        <v>41.36</v>
      </c>
      <c r="F7076" s="16" t="s">
        <v>8</v>
      </c>
      <c r="G7076" s="38" t="str">
        <f>HYPERLINK("http://enext.ua/ins0040076")</f>
        <v>http://enext.ua/ins0040076</v>
      </c>
    </row>
    <row r="7077" spans="2:7" ht="11.25" outlineLevel="6" x14ac:dyDescent="0.2">
      <c r="B7077" s="14" t="s">
        <v>13348</v>
      </c>
      <c r="C7077" s="14" t="s">
        <v>13349</v>
      </c>
      <c r="D7077" s="14">
        <v>1</v>
      </c>
      <c r="E7077" s="15">
        <v>8.91</v>
      </c>
      <c r="F7077" s="16" t="s">
        <v>8</v>
      </c>
      <c r="G7077" s="38" t="str">
        <f>HYPERLINK("http://enext.ua/ins0040074")</f>
        <v>http://enext.ua/ins0040074</v>
      </c>
    </row>
    <row r="7078" spans="2:7" ht="12" outlineLevel="4" x14ac:dyDescent="0.2">
      <c r="B7078" s="12"/>
      <c r="C7078" s="37" t="s">
        <v>13350</v>
      </c>
      <c r="D7078" s="12"/>
      <c r="E7078" s="13"/>
      <c r="F7078" s="13"/>
      <c r="G7078" s="12"/>
    </row>
    <row r="7079" spans="2:7" ht="11.25" outlineLevel="5" x14ac:dyDescent="0.2">
      <c r="B7079" s="14" t="s">
        <v>13351</v>
      </c>
      <c r="C7079" s="14" t="s">
        <v>13352</v>
      </c>
      <c r="D7079" s="14">
        <v>1</v>
      </c>
      <c r="E7079" s="15">
        <v>60.61</v>
      </c>
      <c r="F7079" s="16" t="s">
        <v>8</v>
      </c>
      <c r="G7079" s="38" t="str">
        <f>HYPERLINK("http://enext.ua/ins0040104")</f>
        <v>http://enext.ua/ins0040104</v>
      </c>
    </row>
    <row r="7080" spans="2:7" ht="11.25" outlineLevel="5" x14ac:dyDescent="0.2">
      <c r="B7080" s="14" t="s">
        <v>13353</v>
      </c>
      <c r="C7080" s="14" t="s">
        <v>13354</v>
      </c>
      <c r="D7080" s="14">
        <v>20</v>
      </c>
      <c r="E7080" s="15">
        <v>39.22</v>
      </c>
      <c r="F7080" s="16" t="s">
        <v>8</v>
      </c>
      <c r="G7080" s="38" t="str">
        <f>HYPERLINK("http://enext.ua/ins0040044")</f>
        <v>http://enext.ua/ins0040044</v>
      </c>
    </row>
    <row r="7081" spans="2:7" ht="22.5" outlineLevel="5" x14ac:dyDescent="0.2">
      <c r="B7081" s="14" t="s">
        <v>13355</v>
      </c>
      <c r="C7081" s="14" t="s">
        <v>13356</v>
      </c>
      <c r="D7081" s="14">
        <v>42</v>
      </c>
      <c r="E7081" s="15">
        <v>41.18</v>
      </c>
      <c r="F7081" s="16" t="s">
        <v>8</v>
      </c>
      <c r="G7081" s="14"/>
    </row>
    <row r="7082" spans="2:7" ht="22.5" outlineLevel="5" x14ac:dyDescent="0.2">
      <c r="B7082" s="14" t="s">
        <v>13357</v>
      </c>
      <c r="C7082" s="14" t="s">
        <v>13358</v>
      </c>
      <c r="D7082" s="14">
        <v>20</v>
      </c>
      <c r="E7082" s="15">
        <v>39.22</v>
      </c>
      <c r="F7082" s="16" t="s">
        <v>8</v>
      </c>
      <c r="G7082" s="14"/>
    </row>
    <row r="7083" spans="2:7" ht="11.25" outlineLevel="5" x14ac:dyDescent="0.2">
      <c r="B7083" s="14" t="s">
        <v>13359</v>
      </c>
      <c r="C7083" s="14" t="s">
        <v>13360</v>
      </c>
      <c r="D7083" s="14">
        <v>20</v>
      </c>
      <c r="E7083" s="15">
        <v>12.84</v>
      </c>
      <c r="F7083" s="16" t="s">
        <v>8</v>
      </c>
      <c r="G7083" s="38" t="str">
        <f>HYPERLINK("http://enext.ua/ins0040042")</f>
        <v>http://enext.ua/ins0040042</v>
      </c>
    </row>
    <row r="7084" spans="2:7" ht="22.5" outlineLevel="5" x14ac:dyDescent="0.2">
      <c r="B7084" s="14" t="s">
        <v>13361</v>
      </c>
      <c r="C7084" s="14" t="s">
        <v>13362</v>
      </c>
      <c r="D7084" s="14">
        <v>20</v>
      </c>
      <c r="E7084" s="15">
        <v>13.48</v>
      </c>
      <c r="F7084" s="16" t="s">
        <v>8</v>
      </c>
      <c r="G7084" s="14"/>
    </row>
    <row r="7085" spans="2:7" ht="22.5" outlineLevel="5" x14ac:dyDescent="0.2">
      <c r="B7085" s="14" t="s">
        <v>13363</v>
      </c>
      <c r="C7085" s="14" t="s">
        <v>13364</v>
      </c>
      <c r="D7085" s="14">
        <v>20</v>
      </c>
      <c r="E7085" s="15">
        <v>12.84</v>
      </c>
      <c r="F7085" s="16" t="s">
        <v>8</v>
      </c>
      <c r="G7085" s="14"/>
    </row>
    <row r="7086" spans="2:7" ht="11.25" outlineLevel="5" x14ac:dyDescent="0.2">
      <c r="B7086" s="14" t="s">
        <v>13365</v>
      </c>
      <c r="C7086" s="14" t="s">
        <v>13366</v>
      </c>
      <c r="D7086" s="14">
        <v>20</v>
      </c>
      <c r="E7086" s="15">
        <v>39.93</v>
      </c>
      <c r="F7086" s="16" t="s">
        <v>8</v>
      </c>
      <c r="G7086" s="38" t="str">
        <f>HYPERLINK("http://enext.ua/ins0040043")</f>
        <v>http://enext.ua/ins0040043</v>
      </c>
    </row>
    <row r="7087" spans="2:7" ht="22.5" outlineLevel="5" x14ac:dyDescent="0.2">
      <c r="B7087" s="14" t="s">
        <v>13367</v>
      </c>
      <c r="C7087" s="14" t="s">
        <v>13368</v>
      </c>
      <c r="D7087" s="14">
        <v>10</v>
      </c>
      <c r="E7087" s="15">
        <v>41.93</v>
      </c>
      <c r="F7087" s="16" t="s">
        <v>8</v>
      </c>
      <c r="G7087" s="14"/>
    </row>
    <row r="7088" spans="2:7" ht="22.5" outlineLevel="5" x14ac:dyDescent="0.2">
      <c r="B7088" s="14" t="s">
        <v>13369</v>
      </c>
      <c r="C7088" s="14" t="s">
        <v>13370</v>
      </c>
      <c r="D7088" s="14">
        <v>20</v>
      </c>
      <c r="E7088" s="15">
        <v>39.93</v>
      </c>
      <c r="F7088" s="16" t="s">
        <v>8</v>
      </c>
      <c r="G7088" s="14"/>
    </row>
    <row r="7089" spans="2:7" ht="11.25" outlineLevel="5" x14ac:dyDescent="0.2">
      <c r="B7089" s="14" t="s">
        <v>13371</v>
      </c>
      <c r="C7089" s="14" t="s">
        <v>13372</v>
      </c>
      <c r="D7089" s="14">
        <v>20</v>
      </c>
      <c r="E7089" s="15">
        <v>13.19</v>
      </c>
      <c r="F7089" s="16" t="s">
        <v>8</v>
      </c>
      <c r="G7089" s="38" t="str">
        <f>HYPERLINK("http://enext.ua/ins0040041")</f>
        <v>http://enext.ua/ins0040041</v>
      </c>
    </row>
    <row r="7090" spans="2:7" ht="22.5" outlineLevel="5" x14ac:dyDescent="0.2">
      <c r="B7090" s="14" t="s">
        <v>13373</v>
      </c>
      <c r="C7090" s="14" t="s">
        <v>13374</v>
      </c>
      <c r="D7090" s="14">
        <v>20</v>
      </c>
      <c r="E7090" s="15">
        <v>13.85</v>
      </c>
      <c r="F7090" s="16" t="s">
        <v>8</v>
      </c>
      <c r="G7090" s="14"/>
    </row>
    <row r="7091" spans="2:7" ht="22.5" outlineLevel="5" x14ac:dyDescent="0.2">
      <c r="B7091" s="14" t="s">
        <v>13375</v>
      </c>
      <c r="C7091" s="14" t="s">
        <v>13376</v>
      </c>
      <c r="D7091" s="14">
        <v>20</v>
      </c>
      <c r="E7091" s="15">
        <v>13.19</v>
      </c>
      <c r="F7091" s="16" t="s">
        <v>8</v>
      </c>
      <c r="G7091" s="14"/>
    </row>
    <row r="7092" spans="2:7" ht="12" outlineLevel="4" x14ac:dyDescent="0.2">
      <c r="B7092" s="12"/>
      <c r="C7092" s="37" t="s">
        <v>13377</v>
      </c>
      <c r="D7092" s="12"/>
      <c r="E7092" s="13"/>
      <c r="F7092" s="13"/>
      <c r="G7092" s="12"/>
    </row>
    <row r="7093" spans="2:7" ht="12" outlineLevel="5" x14ac:dyDescent="0.2">
      <c r="B7093" s="18"/>
      <c r="C7093" s="39" t="s">
        <v>13378</v>
      </c>
      <c r="D7093" s="18"/>
      <c r="E7093" s="19"/>
      <c r="F7093" s="19"/>
      <c r="G7093" s="18"/>
    </row>
    <row r="7094" spans="2:7" ht="11.25" outlineLevel="6" x14ac:dyDescent="0.2">
      <c r="B7094" s="14" t="s">
        <v>13379</v>
      </c>
      <c r="C7094" s="14" t="s">
        <v>13380</v>
      </c>
      <c r="D7094" s="14">
        <v>1</v>
      </c>
      <c r="E7094" s="15">
        <v>47.78</v>
      </c>
      <c r="F7094" s="16" t="s">
        <v>8</v>
      </c>
      <c r="G7094" s="38" t="str">
        <f>HYPERLINK("http://enext.ua/ins0040089")</f>
        <v>http://enext.ua/ins0040089</v>
      </c>
    </row>
    <row r="7095" spans="2:7" ht="11.25" outlineLevel="6" x14ac:dyDescent="0.2">
      <c r="B7095" s="14" t="s">
        <v>13381</v>
      </c>
      <c r="C7095" s="14" t="s">
        <v>13382</v>
      </c>
      <c r="D7095" s="14">
        <v>40</v>
      </c>
      <c r="E7095" s="15">
        <v>29.24</v>
      </c>
      <c r="F7095" s="16" t="s">
        <v>8</v>
      </c>
      <c r="G7095" s="38" t="str">
        <f>HYPERLINK("http://enext.ua/ins0040048")</f>
        <v>http://enext.ua/ins0040048</v>
      </c>
    </row>
    <row r="7096" spans="2:7" ht="11.25" outlineLevel="6" x14ac:dyDescent="0.2">
      <c r="B7096" s="14" t="s">
        <v>13383</v>
      </c>
      <c r="C7096" s="14" t="s">
        <v>13384</v>
      </c>
      <c r="D7096" s="14">
        <v>42</v>
      </c>
      <c r="E7096" s="15">
        <v>30.7</v>
      </c>
      <c r="F7096" s="16" t="s">
        <v>8</v>
      </c>
      <c r="G7096" s="14"/>
    </row>
    <row r="7097" spans="2:7" ht="11.25" outlineLevel="6" x14ac:dyDescent="0.2">
      <c r="B7097" s="14" t="s">
        <v>13385</v>
      </c>
      <c r="C7097" s="14" t="s">
        <v>13386</v>
      </c>
      <c r="D7097" s="14">
        <v>40</v>
      </c>
      <c r="E7097" s="15">
        <v>29.24</v>
      </c>
      <c r="F7097" s="16" t="s">
        <v>8</v>
      </c>
      <c r="G7097" s="14"/>
    </row>
    <row r="7098" spans="2:7" ht="11.25" outlineLevel="6" x14ac:dyDescent="0.2">
      <c r="B7098" s="14" t="s">
        <v>13387</v>
      </c>
      <c r="C7098" s="14" t="s">
        <v>13388</v>
      </c>
      <c r="D7098" s="14">
        <v>40</v>
      </c>
      <c r="E7098" s="15">
        <v>7.84</v>
      </c>
      <c r="F7098" s="16" t="s">
        <v>8</v>
      </c>
      <c r="G7098" s="38" t="str">
        <f>HYPERLINK("http://enext.ua/ins0040046")</f>
        <v>http://enext.ua/ins0040046</v>
      </c>
    </row>
    <row r="7099" spans="2:7" ht="11.25" outlineLevel="6" x14ac:dyDescent="0.2">
      <c r="B7099" s="14" t="s">
        <v>13389</v>
      </c>
      <c r="C7099" s="14" t="s">
        <v>13390</v>
      </c>
      <c r="D7099" s="14">
        <v>20</v>
      </c>
      <c r="E7099" s="15">
        <v>8.24</v>
      </c>
      <c r="F7099" s="16" t="s">
        <v>8</v>
      </c>
      <c r="G7099" s="14"/>
    </row>
    <row r="7100" spans="2:7" ht="11.25" outlineLevel="6" x14ac:dyDescent="0.2">
      <c r="B7100" s="14" t="s">
        <v>13391</v>
      </c>
      <c r="C7100" s="14" t="s">
        <v>13392</v>
      </c>
      <c r="D7100" s="14">
        <v>40</v>
      </c>
      <c r="E7100" s="15">
        <v>7.84</v>
      </c>
      <c r="F7100" s="16" t="s">
        <v>8</v>
      </c>
      <c r="G7100" s="14"/>
    </row>
    <row r="7101" spans="2:7" ht="11.25" outlineLevel="6" x14ac:dyDescent="0.2">
      <c r="B7101" s="14" t="s">
        <v>13393</v>
      </c>
      <c r="C7101" s="14" t="s">
        <v>13394</v>
      </c>
      <c r="D7101" s="14">
        <v>40</v>
      </c>
      <c r="E7101" s="15">
        <v>29.24</v>
      </c>
      <c r="F7101" s="16" t="s">
        <v>8</v>
      </c>
      <c r="G7101" s="38" t="str">
        <f>HYPERLINK("http://enext.ua/ins0040047")</f>
        <v>http://enext.ua/ins0040047</v>
      </c>
    </row>
    <row r="7102" spans="2:7" ht="11.25" outlineLevel="6" x14ac:dyDescent="0.2">
      <c r="B7102" s="14" t="s">
        <v>13395</v>
      </c>
      <c r="C7102" s="14" t="s">
        <v>13396</v>
      </c>
      <c r="D7102" s="14">
        <v>10</v>
      </c>
      <c r="E7102" s="15">
        <v>30.7</v>
      </c>
      <c r="F7102" s="16" t="s">
        <v>8</v>
      </c>
      <c r="G7102" s="14"/>
    </row>
    <row r="7103" spans="2:7" ht="11.25" outlineLevel="6" x14ac:dyDescent="0.2">
      <c r="B7103" s="14" t="s">
        <v>13397</v>
      </c>
      <c r="C7103" s="14" t="s">
        <v>13398</v>
      </c>
      <c r="D7103" s="14">
        <v>40</v>
      </c>
      <c r="E7103" s="15">
        <v>29.24</v>
      </c>
      <c r="F7103" s="16" t="s">
        <v>8</v>
      </c>
      <c r="G7103" s="14"/>
    </row>
    <row r="7104" spans="2:7" ht="11.25" outlineLevel="6" x14ac:dyDescent="0.2">
      <c r="B7104" s="14" t="s">
        <v>13399</v>
      </c>
      <c r="C7104" s="14" t="s">
        <v>13400</v>
      </c>
      <c r="D7104" s="14">
        <v>20</v>
      </c>
      <c r="E7104" s="15">
        <v>9.36</v>
      </c>
      <c r="F7104" s="16" t="s">
        <v>8</v>
      </c>
      <c r="G7104" s="14"/>
    </row>
    <row r="7105" spans="2:7" ht="11.25" outlineLevel="6" x14ac:dyDescent="0.2">
      <c r="B7105" s="14" t="s">
        <v>13401</v>
      </c>
      <c r="C7105" s="14" t="s">
        <v>13402</v>
      </c>
      <c r="D7105" s="14">
        <v>40</v>
      </c>
      <c r="E7105" s="15">
        <v>8.91</v>
      </c>
      <c r="F7105" s="16" t="s">
        <v>8</v>
      </c>
      <c r="G7105" s="14"/>
    </row>
    <row r="7106" spans="2:7" ht="12" outlineLevel="5" x14ac:dyDescent="0.2">
      <c r="B7106" s="18"/>
      <c r="C7106" s="39" t="s">
        <v>13403</v>
      </c>
      <c r="D7106" s="18"/>
      <c r="E7106" s="19"/>
      <c r="F7106" s="19"/>
      <c r="G7106" s="18"/>
    </row>
    <row r="7107" spans="2:7" ht="11.25" outlineLevel="6" x14ac:dyDescent="0.2">
      <c r="B7107" s="14" t="s">
        <v>13404</v>
      </c>
      <c r="C7107" s="14" t="s">
        <v>13405</v>
      </c>
      <c r="D7107" s="14">
        <v>1</v>
      </c>
      <c r="E7107" s="15">
        <v>102.33</v>
      </c>
      <c r="F7107" s="16" t="s">
        <v>8</v>
      </c>
      <c r="G7107" s="38" t="str">
        <f>HYPERLINK("http://enext.ua/ins0040090")</f>
        <v>http://enext.ua/ins0040090</v>
      </c>
    </row>
    <row r="7108" spans="2:7" ht="11.25" outlineLevel="6" x14ac:dyDescent="0.2">
      <c r="B7108" s="14" t="s">
        <v>13406</v>
      </c>
      <c r="C7108" s="14" t="s">
        <v>13407</v>
      </c>
      <c r="D7108" s="14">
        <v>22</v>
      </c>
      <c r="E7108" s="15">
        <v>62.75</v>
      </c>
      <c r="F7108" s="16" t="s">
        <v>8</v>
      </c>
      <c r="G7108" s="38" t="str">
        <f>HYPERLINK("http://enext.ua/ins0040052")</f>
        <v>http://enext.ua/ins0040052</v>
      </c>
    </row>
    <row r="7109" spans="2:7" ht="11.25" outlineLevel="6" x14ac:dyDescent="0.2">
      <c r="B7109" s="14" t="s">
        <v>13408</v>
      </c>
      <c r="C7109" s="14" t="s">
        <v>13409</v>
      </c>
      <c r="D7109" s="14">
        <v>42</v>
      </c>
      <c r="E7109" s="15">
        <v>65.89</v>
      </c>
      <c r="F7109" s="16" t="s">
        <v>8</v>
      </c>
      <c r="G7109" s="14"/>
    </row>
    <row r="7110" spans="2:7" ht="11.25" outlineLevel="6" x14ac:dyDescent="0.2">
      <c r="B7110" s="14" t="s">
        <v>13410</v>
      </c>
      <c r="C7110" s="14" t="s">
        <v>13411</v>
      </c>
      <c r="D7110" s="14">
        <v>22</v>
      </c>
      <c r="E7110" s="15">
        <v>62.75</v>
      </c>
      <c r="F7110" s="16" t="s">
        <v>8</v>
      </c>
      <c r="G7110" s="14"/>
    </row>
    <row r="7111" spans="2:7" ht="11.25" outlineLevel="6" x14ac:dyDescent="0.2">
      <c r="B7111" s="14" t="s">
        <v>13412</v>
      </c>
      <c r="C7111" s="14" t="s">
        <v>13413</v>
      </c>
      <c r="D7111" s="14">
        <v>10</v>
      </c>
      <c r="E7111" s="15">
        <v>20.22</v>
      </c>
      <c r="F7111" s="16" t="s">
        <v>8</v>
      </c>
      <c r="G7111" s="14"/>
    </row>
    <row r="7112" spans="2:7" ht="11.25" outlineLevel="6" x14ac:dyDescent="0.2">
      <c r="B7112" s="14" t="s">
        <v>13414</v>
      </c>
      <c r="C7112" s="14" t="s">
        <v>13415</v>
      </c>
      <c r="D7112" s="14">
        <v>22</v>
      </c>
      <c r="E7112" s="15">
        <v>19.25</v>
      </c>
      <c r="F7112" s="16" t="s">
        <v>8</v>
      </c>
      <c r="G7112" s="14"/>
    </row>
    <row r="7113" spans="2:7" ht="11.25" outlineLevel="6" x14ac:dyDescent="0.2">
      <c r="B7113" s="14" t="s">
        <v>13416</v>
      </c>
      <c r="C7113" s="14" t="s">
        <v>13417</v>
      </c>
      <c r="D7113" s="14">
        <v>22</v>
      </c>
      <c r="E7113" s="15">
        <v>62.75</v>
      </c>
      <c r="F7113" s="16" t="s">
        <v>8</v>
      </c>
      <c r="G7113" s="38" t="str">
        <f>HYPERLINK("http://enext.ua/ins0040051")</f>
        <v>http://enext.ua/ins0040051</v>
      </c>
    </row>
    <row r="7114" spans="2:7" ht="11.25" outlineLevel="6" x14ac:dyDescent="0.2">
      <c r="B7114" s="14" t="s">
        <v>13418</v>
      </c>
      <c r="C7114" s="14" t="s">
        <v>13419</v>
      </c>
      <c r="D7114" s="14">
        <v>40</v>
      </c>
      <c r="E7114" s="15">
        <v>65.89</v>
      </c>
      <c r="F7114" s="16" t="s">
        <v>8</v>
      </c>
      <c r="G7114" s="14"/>
    </row>
    <row r="7115" spans="2:7" ht="11.25" outlineLevel="6" x14ac:dyDescent="0.2">
      <c r="B7115" s="14" t="s">
        <v>13420</v>
      </c>
      <c r="C7115" s="14" t="s">
        <v>13421</v>
      </c>
      <c r="D7115" s="14">
        <v>22</v>
      </c>
      <c r="E7115" s="15">
        <v>62.75</v>
      </c>
      <c r="F7115" s="16" t="s">
        <v>8</v>
      </c>
      <c r="G7115" s="14"/>
    </row>
    <row r="7116" spans="2:7" ht="11.25" outlineLevel="6" x14ac:dyDescent="0.2">
      <c r="B7116" s="14" t="s">
        <v>13422</v>
      </c>
      <c r="C7116" s="14" t="s">
        <v>13423</v>
      </c>
      <c r="D7116" s="14">
        <v>22</v>
      </c>
      <c r="E7116" s="15">
        <v>18.54</v>
      </c>
      <c r="F7116" s="16" t="s">
        <v>8</v>
      </c>
      <c r="G7116" s="38" t="str">
        <f>HYPERLINK("http://enext.ua/ins0040049")</f>
        <v>http://enext.ua/ins0040049</v>
      </c>
    </row>
    <row r="7117" spans="2:7" ht="11.25" outlineLevel="6" x14ac:dyDescent="0.2">
      <c r="B7117" s="14" t="s">
        <v>13424</v>
      </c>
      <c r="C7117" s="14" t="s">
        <v>13425</v>
      </c>
      <c r="D7117" s="14">
        <v>20</v>
      </c>
      <c r="E7117" s="15">
        <v>19.47</v>
      </c>
      <c r="F7117" s="16" t="s">
        <v>8</v>
      </c>
      <c r="G7117" s="14"/>
    </row>
    <row r="7118" spans="2:7" ht="11.25" outlineLevel="6" x14ac:dyDescent="0.2">
      <c r="B7118" s="14" t="s">
        <v>13426</v>
      </c>
      <c r="C7118" s="14" t="s">
        <v>13427</v>
      </c>
      <c r="D7118" s="14">
        <v>22</v>
      </c>
      <c r="E7118" s="15">
        <v>18.54</v>
      </c>
      <c r="F7118" s="16" t="s">
        <v>8</v>
      </c>
      <c r="G7118" s="14"/>
    </row>
    <row r="7119" spans="2:7" ht="12" outlineLevel="5" x14ac:dyDescent="0.2">
      <c r="B7119" s="18"/>
      <c r="C7119" s="39" t="s">
        <v>13428</v>
      </c>
      <c r="D7119" s="18"/>
      <c r="E7119" s="19"/>
      <c r="F7119" s="19"/>
      <c r="G7119" s="18"/>
    </row>
    <row r="7120" spans="2:7" ht="11.25" outlineLevel="6" x14ac:dyDescent="0.2">
      <c r="B7120" s="14" t="s">
        <v>13429</v>
      </c>
      <c r="C7120" s="14" t="s">
        <v>13430</v>
      </c>
      <c r="D7120" s="14">
        <v>1</v>
      </c>
      <c r="E7120" s="15">
        <v>153.31</v>
      </c>
      <c r="F7120" s="16" t="s">
        <v>8</v>
      </c>
      <c r="G7120" s="38" t="str">
        <f>HYPERLINK("http://enext.ua/ins0040091")</f>
        <v>http://enext.ua/ins0040091</v>
      </c>
    </row>
    <row r="7121" spans="2:7" ht="11.25" outlineLevel="6" x14ac:dyDescent="0.2">
      <c r="B7121" s="14" t="s">
        <v>13431</v>
      </c>
      <c r="C7121" s="14" t="s">
        <v>13432</v>
      </c>
      <c r="D7121" s="14">
        <v>42</v>
      </c>
      <c r="E7121" s="15">
        <v>93.77</v>
      </c>
      <c r="F7121" s="16" t="s">
        <v>8</v>
      </c>
      <c r="G7121" s="38" t="str">
        <f>HYPERLINK("http://enext.ua/ins0040056")</f>
        <v>http://enext.ua/ins0040056</v>
      </c>
    </row>
    <row r="7122" spans="2:7" ht="11.25" outlineLevel="6" x14ac:dyDescent="0.2">
      <c r="B7122" s="14" t="s">
        <v>13433</v>
      </c>
      <c r="C7122" s="14" t="s">
        <v>13434</v>
      </c>
      <c r="D7122" s="14">
        <v>42</v>
      </c>
      <c r="E7122" s="15">
        <v>98.46</v>
      </c>
      <c r="F7122" s="16" t="s">
        <v>8</v>
      </c>
      <c r="G7122" s="14"/>
    </row>
    <row r="7123" spans="2:7" ht="11.25" outlineLevel="6" x14ac:dyDescent="0.2">
      <c r="B7123" s="14" t="s">
        <v>13435</v>
      </c>
      <c r="C7123" s="14" t="s">
        <v>13436</v>
      </c>
      <c r="D7123" s="14">
        <v>42</v>
      </c>
      <c r="E7123" s="15">
        <v>93.77</v>
      </c>
      <c r="F7123" s="16" t="s">
        <v>8</v>
      </c>
      <c r="G7123" s="14"/>
    </row>
    <row r="7124" spans="2:7" ht="11.25" outlineLevel="6" x14ac:dyDescent="0.2">
      <c r="B7124" s="14" t="s">
        <v>13437</v>
      </c>
      <c r="C7124" s="14" t="s">
        <v>13438</v>
      </c>
      <c r="D7124" s="14">
        <v>42</v>
      </c>
      <c r="E7124" s="15">
        <v>28.52</v>
      </c>
      <c r="F7124" s="16" t="s">
        <v>8</v>
      </c>
      <c r="G7124" s="38" t="str">
        <f>HYPERLINK("http://enext.ua/ins0040054")</f>
        <v>http://enext.ua/ins0040054</v>
      </c>
    </row>
    <row r="7125" spans="2:7" ht="11.25" outlineLevel="6" x14ac:dyDescent="0.2">
      <c r="B7125" s="14" t="s">
        <v>13439</v>
      </c>
      <c r="C7125" s="14" t="s">
        <v>13440</v>
      </c>
      <c r="D7125" s="14">
        <v>10</v>
      </c>
      <c r="E7125" s="15">
        <v>29.95</v>
      </c>
      <c r="F7125" s="16" t="s">
        <v>8</v>
      </c>
      <c r="G7125" s="14"/>
    </row>
    <row r="7126" spans="2:7" ht="11.25" outlineLevel="6" x14ac:dyDescent="0.2">
      <c r="B7126" s="14" t="s">
        <v>13441</v>
      </c>
      <c r="C7126" s="14" t="s">
        <v>13442</v>
      </c>
      <c r="D7126" s="14">
        <v>42</v>
      </c>
      <c r="E7126" s="15">
        <v>28.52</v>
      </c>
      <c r="F7126" s="16" t="s">
        <v>8</v>
      </c>
      <c r="G7126" s="14"/>
    </row>
    <row r="7127" spans="2:7" ht="11.25" outlineLevel="6" x14ac:dyDescent="0.2">
      <c r="B7127" s="14" t="s">
        <v>13443</v>
      </c>
      <c r="C7127" s="14" t="s">
        <v>13444</v>
      </c>
      <c r="D7127" s="14">
        <v>42</v>
      </c>
      <c r="E7127" s="15">
        <v>93.77</v>
      </c>
      <c r="F7127" s="16" t="s">
        <v>8</v>
      </c>
      <c r="G7127" s="38" t="str">
        <f>HYPERLINK("http://enext.ua/ins0040055")</f>
        <v>http://enext.ua/ins0040055</v>
      </c>
    </row>
    <row r="7128" spans="2:7" ht="11.25" outlineLevel="6" x14ac:dyDescent="0.2">
      <c r="B7128" s="14" t="s">
        <v>13445</v>
      </c>
      <c r="C7128" s="14" t="s">
        <v>13446</v>
      </c>
      <c r="D7128" s="14">
        <v>40</v>
      </c>
      <c r="E7128" s="15">
        <v>98.46</v>
      </c>
      <c r="F7128" s="16" t="s">
        <v>8</v>
      </c>
      <c r="G7128" s="14"/>
    </row>
    <row r="7129" spans="2:7" ht="11.25" outlineLevel="6" x14ac:dyDescent="0.2">
      <c r="B7129" s="14" t="s">
        <v>13447</v>
      </c>
      <c r="C7129" s="14" t="s">
        <v>13448</v>
      </c>
      <c r="D7129" s="14">
        <v>42</v>
      </c>
      <c r="E7129" s="15">
        <v>93.77</v>
      </c>
      <c r="F7129" s="16" t="s">
        <v>8</v>
      </c>
      <c r="G7129" s="14"/>
    </row>
    <row r="7130" spans="2:7" ht="11.25" outlineLevel="6" x14ac:dyDescent="0.2">
      <c r="B7130" s="14" t="s">
        <v>13449</v>
      </c>
      <c r="C7130" s="14" t="s">
        <v>13450</v>
      </c>
      <c r="D7130" s="14">
        <v>42</v>
      </c>
      <c r="E7130" s="15">
        <v>27.1</v>
      </c>
      <c r="F7130" s="16" t="s">
        <v>8</v>
      </c>
      <c r="G7130" s="38" t="str">
        <f>HYPERLINK("http://enext.ua/ins0040053")</f>
        <v>http://enext.ua/ins0040053</v>
      </c>
    </row>
    <row r="7131" spans="2:7" ht="11.25" outlineLevel="6" x14ac:dyDescent="0.2">
      <c r="B7131" s="14" t="s">
        <v>13451</v>
      </c>
      <c r="C7131" s="14" t="s">
        <v>13452</v>
      </c>
      <c r="D7131" s="14">
        <v>20</v>
      </c>
      <c r="E7131" s="15">
        <v>28.45</v>
      </c>
      <c r="F7131" s="16" t="s">
        <v>8</v>
      </c>
      <c r="G7131" s="14"/>
    </row>
    <row r="7132" spans="2:7" ht="11.25" outlineLevel="6" x14ac:dyDescent="0.2">
      <c r="B7132" s="14" t="s">
        <v>13453</v>
      </c>
      <c r="C7132" s="14" t="s">
        <v>13454</v>
      </c>
      <c r="D7132" s="14">
        <v>42</v>
      </c>
      <c r="E7132" s="15">
        <v>27.1</v>
      </c>
      <c r="F7132" s="16" t="s">
        <v>8</v>
      </c>
      <c r="G7132" s="14"/>
    </row>
    <row r="7133" spans="2:7" ht="12" outlineLevel="5" x14ac:dyDescent="0.2">
      <c r="B7133" s="18"/>
      <c r="C7133" s="39" t="s">
        <v>13455</v>
      </c>
      <c r="D7133" s="18"/>
      <c r="E7133" s="19"/>
      <c r="F7133" s="19"/>
      <c r="G7133" s="18"/>
    </row>
    <row r="7134" spans="2:7" ht="11.25" outlineLevel="6" x14ac:dyDescent="0.2">
      <c r="B7134" s="14" t="s">
        <v>13456</v>
      </c>
      <c r="C7134" s="14" t="s">
        <v>13457</v>
      </c>
      <c r="D7134" s="14">
        <v>1</v>
      </c>
      <c r="E7134" s="15">
        <v>245.3</v>
      </c>
      <c r="F7134" s="16" t="s">
        <v>8</v>
      </c>
      <c r="G7134" s="38" t="str">
        <f>HYPERLINK("http://enext.ua/ins0040092")</f>
        <v>http://enext.ua/ins0040092</v>
      </c>
    </row>
    <row r="7135" spans="2:7" ht="11.25" outlineLevel="6" x14ac:dyDescent="0.2">
      <c r="B7135" s="14" t="s">
        <v>13458</v>
      </c>
      <c r="C7135" s="14" t="s">
        <v>13459</v>
      </c>
      <c r="D7135" s="14">
        <v>42</v>
      </c>
      <c r="E7135" s="15">
        <v>200.66</v>
      </c>
      <c r="F7135" s="16" t="s">
        <v>8</v>
      </c>
      <c r="G7135" s="14"/>
    </row>
    <row r="7136" spans="2:7" ht="11.25" outlineLevel="6" x14ac:dyDescent="0.2">
      <c r="B7136" s="14" t="s">
        <v>13460</v>
      </c>
      <c r="C7136" s="14" t="s">
        <v>13461</v>
      </c>
      <c r="D7136" s="14">
        <v>15</v>
      </c>
      <c r="E7136" s="15">
        <v>191.11</v>
      </c>
      <c r="F7136" s="16" t="s">
        <v>8</v>
      </c>
      <c r="G7136" s="14"/>
    </row>
    <row r="7137" spans="2:7" ht="11.25" outlineLevel="6" x14ac:dyDescent="0.2">
      <c r="B7137" s="14" t="s">
        <v>13462</v>
      </c>
      <c r="C7137" s="14" t="s">
        <v>13463</v>
      </c>
      <c r="D7137" s="14">
        <v>40</v>
      </c>
      <c r="E7137" s="15">
        <v>81.61</v>
      </c>
      <c r="F7137" s="16" t="s">
        <v>8</v>
      </c>
      <c r="G7137" s="14"/>
    </row>
    <row r="7138" spans="2:7" ht="11.25" outlineLevel="6" x14ac:dyDescent="0.2">
      <c r="B7138" s="14" t="s">
        <v>13464</v>
      </c>
      <c r="C7138" s="14" t="s">
        <v>13465</v>
      </c>
      <c r="D7138" s="14">
        <v>15</v>
      </c>
      <c r="E7138" s="15">
        <v>77.73</v>
      </c>
      <c r="F7138" s="16" t="s">
        <v>8</v>
      </c>
      <c r="G7138" s="14"/>
    </row>
    <row r="7139" spans="2:7" ht="11.25" outlineLevel="6" x14ac:dyDescent="0.2">
      <c r="B7139" s="14" t="s">
        <v>13466</v>
      </c>
      <c r="C7139" s="14" t="s">
        <v>13467</v>
      </c>
      <c r="D7139" s="14">
        <v>15</v>
      </c>
      <c r="E7139" s="15">
        <v>191.11</v>
      </c>
      <c r="F7139" s="16" t="s">
        <v>8</v>
      </c>
      <c r="G7139" s="38" t="str">
        <f>HYPERLINK("http://enext.ua/ins0040059")</f>
        <v>http://enext.ua/ins0040059</v>
      </c>
    </row>
    <row r="7140" spans="2:7" ht="11.25" outlineLevel="6" x14ac:dyDescent="0.2">
      <c r="B7140" s="14" t="s">
        <v>13468</v>
      </c>
      <c r="C7140" s="14" t="s">
        <v>13469</v>
      </c>
      <c r="D7140" s="14">
        <v>15</v>
      </c>
      <c r="E7140" s="15">
        <v>191.11</v>
      </c>
      <c r="F7140" s="16" t="s">
        <v>8</v>
      </c>
      <c r="G7140" s="14"/>
    </row>
    <row r="7141" spans="2:7" ht="11.25" outlineLevel="6" x14ac:dyDescent="0.2">
      <c r="B7141" s="14" t="s">
        <v>13470</v>
      </c>
      <c r="C7141" s="14" t="s">
        <v>13471</v>
      </c>
      <c r="D7141" s="14">
        <v>15</v>
      </c>
      <c r="E7141" s="15">
        <v>64.89</v>
      </c>
      <c r="F7141" s="16" t="s">
        <v>8</v>
      </c>
      <c r="G7141" s="38" t="str">
        <f>HYPERLINK("http://enext.ua/ins0040057")</f>
        <v>http://enext.ua/ins0040057</v>
      </c>
    </row>
    <row r="7142" spans="2:7" ht="11.25" outlineLevel="6" x14ac:dyDescent="0.2">
      <c r="B7142" s="14" t="s">
        <v>13472</v>
      </c>
      <c r="C7142" s="14" t="s">
        <v>13473</v>
      </c>
      <c r="D7142" s="14">
        <v>10</v>
      </c>
      <c r="E7142" s="15">
        <v>68.14</v>
      </c>
      <c r="F7142" s="16" t="s">
        <v>8</v>
      </c>
      <c r="G7142" s="14"/>
    </row>
    <row r="7143" spans="2:7" ht="11.25" outlineLevel="6" x14ac:dyDescent="0.2">
      <c r="B7143" s="14" t="s">
        <v>13474</v>
      </c>
      <c r="C7143" s="14" t="s">
        <v>13475</v>
      </c>
      <c r="D7143" s="14">
        <v>15</v>
      </c>
      <c r="E7143" s="15">
        <v>64.89</v>
      </c>
      <c r="F7143" s="16" t="s">
        <v>8</v>
      </c>
      <c r="G7143" s="14"/>
    </row>
    <row r="7144" spans="2:7" ht="12" outlineLevel="5" x14ac:dyDescent="0.2">
      <c r="B7144" s="18"/>
      <c r="C7144" s="39" t="s">
        <v>13476</v>
      </c>
      <c r="D7144" s="18"/>
      <c r="E7144" s="19"/>
      <c r="F7144" s="19"/>
      <c r="G7144" s="18"/>
    </row>
    <row r="7145" spans="2:7" ht="11.25" outlineLevel="6" x14ac:dyDescent="0.2">
      <c r="B7145" s="14" t="s">
        <v>13477</v>
      </c>
      <c r="C7145" s="14" t="s">
        <v>13478</v>
      </c>
      <c r="D7145" s="14">
        <v>1</v>
      </c>
      <c r="E7145" s="15">
        <v>330.16</v>
      </c>
      <c r="F7145" s="16" t="s">
        <v>8</v>
      </c>
      <c r="G7145" s="38" t="str">
        <f>HYPERLINK("http://enext.ua/ins0040093")</f>
        <v>http://enext.ua/ins0040093</v>
      </c>
    </row>
    <row r="7146" spans="2:7" ht="11.25" outlineLevel="6" x14ac:dyDescent="0.2">
      <c r="B7146" s="14" t="s">
        <v>13479</v>
      </c>
      <c r="C7146" s="14" t="s">
        <v>13480</v>
      </c>
      <c r="D7146" s="14">
        <v>22</v>
      </c>
      <c r="E7146" s="15">
        <v>256</v>
      </c>
      <c r="F7146" s="16" t="s">
        <v>8</v>
      </c>
      <c r="G7146" s="38" t="str">
        <f>HYPERLINK("http://enext.ua/ins0040064")</f>
        <v>http://enext.ua/ins0040064</v>
      </c>
    </row>
    <row r="7147" spans="2:7" ht="11.25" outlineLevel="6" x14ac:dyDescent="0.2">
      <c r="B7147" s="14" t="s">
        <v>13481</v>
      </c>
      <c r="C7147" s="14" t="s">
        <v>13482</v>
      </c>
      <c r="D7147" s="14">
        <v>42</v>
      </c>
      <c r="E7147" s="15">
        <v>268.8</v>
      </c>
      <c r="F7147" s="16" t="s">
        <v>8</v>
      </c>
      <c r="G7147" s="14"/>
    </row>
    <row r="7148" spans="2:7" ht="11.25" outlineLevel="6" x14ac:dyDescent="0.2">
      <c r="B7148" s="14" t="s">
        <v>13483</v>
      </c>
      <c r="C7148" s="14" t="s">
        <v>13484</v>
      </c>
      <c r="D7148" s="14">
        <v>22</v>
      </c>
      <c r="E7148" s="15">
        <v>256</v>
      </c>
      <c r="F7148" s="16" t="s">
        <v>8</v>
      </c>
      <c r="G7148" s="14"/>
    </row>
    <row r="7149" spans="2:7" ht="11.25" outlineLevel="6" x14ac:dyDescent="0.2">
      <c r="B7149" s="14" t="s">
        <v>13485</v>
      </c>
      <c r="C7149" s="14" t="s">
        <v>13486</v>
      </c>
      <c r="D7149" s="14">
        <v>22</v>
      </c>
      <c r="E7149" s="15">
        <v>83.79</v>
      </c>
      <c r="F7149" s="16" t="s">
        <v>8</v>
      </c>
      <c r="G7149" s="38" t="str">
        <f>HYPERLINK("http://enext.ua/ins0040062")</f>
        <v>http://enext.ua/ins0040062</v>
      </c>
    </row>
    <row r="7150" spans="2:7" ht="11.25" outlineLevel="6" x14ac:dyDescent="0.2">
      <c r="B7150" s="14" t="s">
        <v>13487</v>
      </c>
      <c r="C7150" s="14" t="s">
        <v>13488</v>
      </c>
      <c r="D7150" s="14">
        <v>40</v>
      </c>
      <c r="E7150" s="15">
        <v>87.98</v>
      </c>
      <c r="F7150" s="16" t="s">
        <v>8</v>
      </c>
      <c r="G7150" s="14"/>
    </row>
    <row r="7151" spans="2:7" ht="11.25" outlineLevel="6" x14ac:dyDescent="0.2">
      <c r="B7151" s="14" t="s">
        <v>13489</v>
      </c>
      <c r="C7151" s="14" t="s">
        <v>13490</v>
      </c>
      <c r="D7151" s="14">
        <v>22</v>
      </c>
      <c r="E7151" s="15">
        <v>83.79</v>
      </c>
      <c r="F7151" s="16" t="s">
        <v>8</v>
      </c>
      <c r="G7151" s="14"/>
    </row>
    <row r="7152" spans="2:7" ht="11.25" outlineLevel="6" x14ac:dyDescent="0.2">
      <c r="B7152" s="14" t="s">
        <v>13491</v>
      </c>
      <c r="C7152" s="14" t="s">
        <v>13492</v>
      </c>
      <c r="D7152" s="14">
        <v>22</v>
      </c>
      <c r="E7152" s="15">
        <v>256</v>
      </c>
      <c r="F7152" s="16" t="s">
        <v>8</v>
      </c>
      <c r="G7152" s="38" t="str">
        <f>HYPERLINK("http://enext.ua/ins0040063")</f>
        <v>http://enext.ua/ins0040063</v>
      </c>
    </row>
    <row r="7153" spans="2:7" ht="11.25" outlineLevel="6" x14ac:dyDescent="0.2">
      <c r="B7153" s="14" t="s">
        <v>13493</v>
      </c>
      <c r="C7153" s="14" t="s">
        <v>13494</v>
      </c>
      <c r="D7153" s="14">
        <v>40</v>
      </c>
      <c r="E7153" s="15">
        <v>268.8</v>
      </c>
      <c r="F7153" s="16" t="s">
        <v>8</v>
      </c>
      <c r="G7153" s="14"/>
    </row>
    <row r="7154" spans="2:7" ht="11.25" outlineLevel="6" x14ac:dyDescent="0.2">
      <c r="B7154" s="14" t="s">
        <v>13495</v>
      </c>
      <c r="C7154" s="14" t="s">
        <v>13496</v>
      </c>
      <c r="D7154" s="14">
        <v>22</v>
      </c>
      <c r="E7154" s="15">
        <v>256</v>
      </c>
      <c r="F7154" s="16" t="s">
        <v>8</v>
      </c>
      <c r="G7154" s="14"/>
    </row>
    <row r="7155" spans="2:7" ht="11.25" outlineLevel="6" x14ac:dyDescent="0.2">
      <c r="B7155" s="14" t="s">
        <v>13497</v>
      </c>
      <c r="C7155" s="14" t="s">
        <v>13498</v>
      </c>
      <c r="D7155" s="14">
        <v>10</v>
      </c>
      <c r="E7155" s="15">
        <v>131.03</v>
      </c>
      <c r="F7155" s="16" t="s">
        <v>8</v>
      </c>
      <c r="G7155" s="14"/>
    </row>
    <row r="7156" spans="2:7" ht="11.25" outlineLevel="6" x14ac:dyDescent="0.2">
      <c r="B7156" s="14" t="s">
        <v>13499</v>
      </c>
      <c r="C7156" s="14" t="s">
        <v>13500</v>
      </c>
      <c r="D7156" s="14">
        <v>22</v>
      </c>
      <c r="E7156" s="15">
        <v>124.79</v>
      </c>
      <c r="F7156" s="16" t="s">
        <v>8</v>
      </c>
      <c r="G7156" s="14"/>
    </row>
    <row r="7157" spans="2:7" ht="12" outlineLevel="5" x14ac:dyDescent="0.2">
      <c r="B7157" s="18"/>
      <c r="C7157" s="39" t="s">
        <v>13268</v>
      </c>
      <c r="D7157" s="18"/>
      <c r="E7157" s="19"/>
      <c r="F7157" s="19"/>
      <c r="G7157" s="18"/>
    </row>
    <row r="7158" spans="2:7" ht="11.25" outlineLevel="6" x14ac:dyDescent="0.2">
      <c r="B7158" s="14" t="s">
        <v>13501</v>
      </c>
      <c r="C7158" s="14" t="s">
        <v>13502</v>
      </c>
      <c r="D7158" s="14">
        <v>1</v>
      </c>
      <c r="E7158" s="15">
        <v>83.43</v>
      </c>
      <c r="F7158" s="16" t="s">
        <v>8</v>
      </c>
      <c r="G7158" s="38" t="str">
        <f>HYPERLINK("http://enext.ua/ins0040088")</f>
        <v>http://enext.ua/ins0040088</v>
      </c>
    </row>
    <row r="7159" spans="2:7" ht="11.25" outlineLevel="6" x14ac:dyDescent="0.2">
      <c r="B7159" s="14" t="s">
        <v>13503</v>
      </c>
      <c r="C7159" s="14" t="s">
        <v>13504</v>
      </c>
      <c r="D7159" s="14">
        <v>1</v>
      </c>
      <c r="E7159" s="15">
        <v>83.08</v>
      </c>
      <c r="F7159" s="16" t="s">
        <v>8</v>
      </c>
      <c r="G7159" s="38" t="str">
        <f>HYPERLINK("http://enext.ua/ins0040087")</f>
        <v>http://enext.ua/ins0040087</v>
      </c>
    </row>
    <row r="7160" spans="2:7" ht="11.25" outlineLevel="6" x14ac:dyDescent="0.2">
      <c r="B7160" s="14" t="s">
        <v>13505</v>
      </c>
      <c r="C7160" s="14" t="s">
        <v>13506</v>
      </c>
      <c r="D7160" s="14">
        <v>1</v>
      </c>
      <c r="E7160" s="15">
        <v>50.99</v>
      </c>
      <c r="F7160" s="16" t="s">
        <v>8</v>
      </c>
      <c r="G7160" s="38" t="str">
        <f>HYPERLINK("http://enext.ua/ins0040085")</f>
        <v>http://enext.ua/ins0040085</v>
      </c>
    </row>
    <row r="7161" spans="2:7" ht="11.25" outlineLevel="6" x14ac:dyDescent="0.2">
      <c r="B7161" s="14" t="s">
        <v>13507</v>
      </c>
      <c r="C7161" s="14" t="s">
        <v>13508</v>
      </c>
      <c r="D7161" s="14">
        <v>1</v>
      </c>
      <c r="E7161" s="15">
        <v>83.43</v>
      </c>
      <c r="F7161" s="16" t="s">
        <v>8</v>
      </c>
      <c r="G7161" s="38" t="str">
        <f>HYPERLINK("http://enext.ua/ins0040086")</f>
        <v>http://enext.ua/ins0040086</v>
      </c>
    </row>
    <row r="7162" spans="2:7" ht="11.25" outlineLevel="6" x14ac:dyDescent="0.2">
      <c r="B7162" s="14" t="s">
        <v>13509</v>
      </c>
      <c r="C7162" s="14" t="s">
        <v>13510</v>
      </c>
      <c r="D7162" s="14">
        <v>1</v>
      </c>
      <c r="E7162" s="15">
        <v>50.99</v>
      </c>
      <c r="F7162" s="16" t="s">
        <v>8</v>
      </c>
      <c r="G7162" s="38" t="str">
        <f>HYPERLINK("http://enext.ua/ins0040084")</f>
        <v>http://enext.ua/ins0040084</v>
      </c>
    </row>
    <row r="7163" spans="2:7" ht="12" outlineLevel="3" x14ac:dyDescent="0.2">
      <c r="B7163" s="10"/>
      <c r="C7163" s="36" t="s">
        <v>13511</v>
      </c>
      <c r="D7163" s="10"/>
      <c r="E7163" s="11"/>
      <c r="F7163" s="11"/>
      <c r="G7163" s="10"/>
    </row>
    <row r="7164" spans="2:7" ht="12" outlineLevel="4" x14ac:dyDescent="0.2">
      <c r="B7164" s="12"/>
      <c r="C7164" s="37" t="s">
        <v>13512</v>
      </c>
      <c r="D7164" s="12"/>
      <c r="E7164" s="13"/>
      <c r="F7164" s="13"/>
      <c r="G7164" s="12"/>
    </row>
    <row r="7165" spans="2:7" ht="11.25" outlineLevel="5" x14ac:dyDescent="0.2">
      <c r="B7165" s="14" t="s">
        <v>13513</v>
      </c>
      <c r="C7165" s="14" t="s">
        <v>13514</v>
      </c>
      <c r="D7165" s="14">
        <v>40</v>
      </c>
      <c r="E7165" s="15">
        <v>179.72</v>
      </c>
      <c r="F7165" s="16" t="s">
        <v>8</v>
      </c>
      <c r="G7165" s="38" t="str">
        <f>HYPERLINK("http://enext.ua/232")</f>
        <v>http://enext.ua/232</v>
      </c>
    </row>
    <row r="7166" spans="2:7" ht="11.25" outlineLevel="5" x14ac:dyDescent="0.2">
      <c r="B7166" s="14" t="s">
        <v>13515</v>
      </c>
      <c r="C7166" s="14" t="s">
        <v>13516</v>
      </c>
      <c r="D7166" s="14">
        <v>40</v>
      </c>
      <c r="E7166" s="15">
        <v>94.2</v>
      </c>
      <c r="F7166" s="16" t="s">
        <v>8</v>
      </c>
      <c r="G7166" s="38" t="str">
        <f>HYPERLINK("http://enext.ua/230")</f>
        <v>http://enext.ua/230</v>
      </c>
    </row>
    <row r="7167" spans="2:7" ht="11.25" outlineLevel="5" x14ac:dyDescent="0.2">
      <c r="B7167" s="14" t="s">
        <v>13517</v>
      </c>
      <c r="C7167" s="14" t="s">
        <v>13518</v>
      </c>
      <c r="D7167" s="14">
        <v>40</v>
      </c>
      <c r="E7167" s="15">
        <v>119.49</v>
      </c>
      <c r="F7167" s="16" t="s">
        <v>8</v>
      </c>
      <c r="G7167" s="38" t="str">
        <f>HYPERLINK("http://enext.ua/231")</f>
        <v>http://enext.ua/231</v>
      </c>
    </row>
    <row r="7168" spans="2:7" ht="11.25" outlineLevel="5" x14ac:dyDescent="0.2">
      <c r="B7168" s="14" t="s">
        <v>13519</v>
      </c>
      <c r="C7168" s="14" t="s">
        <v>13520</v>
      </c>
      <c r="D7168" s="14">
        <v>40</v>
      </c>
      <c r="E7168" s="15">
        <v>46.6</v>
      </c>
      <c r="F7168" s="16" t="s">
        <v>8</v>
      </c>
      <c r="G7168" s="38" t="str">
        <f>HYPERLINK("http://enext.ua/216")</f>
        <v>http://enext.ua/216</v>
      </c>
    </row>
    <row r="7169" spans="2:7" ht="11.25" outlineLevel="5" x14ac:dyDescent="0.2">
      <c r="B7169" s="14" t="s">
        <v>13521</v>
      </c>
      <c r="C7169" s="14" t="s">
        <v>13522</v>
      </c>
      <c r="D7169" s="14">
        <v>40</v>
      </c>
      <c r="E7169" s="15">
        <v>39.090000000000003</v>
      </c>
      <c r="F7169" s="16" t="s">
        <v>8</v>
      </c>
      <c r="G7169" s="38" t="str">
        <f>HYPERLINK("http://enext.ua/202")</f>
        <v>http://enext.ua/202</v>
      </c>
    </row>
    <row r="7170" spans="2:7" ht="11.25" outlineLevel="5" x14ac:dyDescent="0.2">
      <c r="B7170" s="14" t="s">
        <v>13523</v>
      </c>
      <c r="C7170" s="14" t="s">
        <v>13524</v>
      </c>
      <c r="D7170" s="14">
        <v>40</v>
      </c>
      <c r="E7170" s="15">
        <v>47.73</v>
      </c>
      <c r="F7170" s="16" t="s">
        <v>8</v>
      </c>
      <c r="G7170" s="38" t="str">
        <f>HYPERLINK("http://enext.ua/202/2")</f>
        <v>http://enext.ua/202/2</v>
      </c>
    </row>
    <row r="7171" spans="2:7" ht="11.25" outlineLevel="5" x14ac:dyDescent="0.2">
      <c r="B7171" s="14" t="s">
        <v>13525</v>
      </c>
      <c r="C7171" s="14" t="s">
        <v>13526</v>
      </c>
      <c r="D7171" s="14">
        <v>40</v>
      </c>
      <c r="E7171" s="15">
        <v>53.77</v>
      </c>
      <c r="F7171" s="16" t="s">
        <v>8</v>
      </c>
      <c r="G7171" s="38" t="str">
        <f>HYPERLINK("http://enext.ua/220")</f>
        <v>http://enext.ua/220</v>
      </c>
    </row>
    <row r="7172" spans="2:7" ht="11.25" outlineLevel="5" x14ac:dyDescent="0.2">
      <c r="B7172" s="14" t="s">
        <v>13527</v>
      </c>
      <c r="C7172" s="14" t="s">
        <v>13528</v>
      </c>
      <c r="D7172" s="14">
        <v>40</v>
      </c>
      <c r="E7172" s="15">
        <v>49</v>
      </c>
      <c r="F7172" s="16" t="s">
        <v>8</v>
      </c>
      <c r="G7172" s="38" t="str">
        <f>HYPERLINK("http://enext.ua/219")</f>
        <v>http://enext.ua/219</v>
      </c>
    </row>
    <row r="7173" spans="2:7" ht="11.25" outlineLevel="5" x14ac:dyDescent="0.2">
      <c r="B7173" s="14" t="s">
        <v>13529</v>
      </c>
      <c r="C7173" s="14" t="s">
        <v>13530</v>
      </c>
      <c r="D7173" s="14">
        <v>40</v>
      </c>
      <c r="E7173" s="15">
        <v>67.12</v>
      </c>
      <c r="F7173" s="16" t="s">
        <v>8</v>
      </c>
      <c r="G7173" s="38" t="str">
        <f>HYPERLINK("http://enext.ua/217")</f>
        <v>http://enext.ua/217</v>
      </c>
    </row>
    <row r="7174" spans="2:7" ht="11.25" outlineLevel="5" x14ac:dyDescent="0.2">
      <c r="B7174" s="14" t="s">
        <v>13531</v>
      </c>
      <c r="C7174" s="14" t="s">
        <v>13532</v>
      </c>
      <c r="D7174" s="14">
        <v>40</v>
      </c>
      <c r="E7174" s="15">
        <v>50.49</v>
      </c>
      <c r="F7174" s="16" t="s">
        <v>8</v>
      </c>
      <c r="G7174" s="38" t="str">
        <f>HYPERLINK("http://enext.ua/215")</f>
        <v>http://enext.ua/215</v>
      </c>
    </row>
    <row r="7175" spans="2:7" ht="11.25" outlineLevel="5" x14ac:dyDescent="0.2">
      <c r="B7175" s="14" t="s">
        <v>13533</v>
      </c>
      <c r="C7175" s="14" t="s">
        <v>13534</v>
      </c>
      <c r="D7175" s="14">
        <v>40</v>
      </c>
      <c r="E7175" s="15">
        <v>42.63</v>
      </c>
      <c r="F7175" s="16" t="s">
        <v>8</v>
      </c>
      <c r="G7175" s="38" t="str">
        <f>HYPERLINK("http://enext.ua/200")</f>
        <v>http://enext.ua/200</v>
      </c>
    </row>
    <row r="7176" spans="2:7" ht="11.25" outlineLevel="5" x14ac:dyDescent="0.2">
      <c r="B7176" s="14" t="s">
        <v>13535</v>
      </c>
      <c r="C7176" s="14" t="s">
        <v>13536</v>
      </c>
      <c r="D7176" s="14">
        <v>40</v>
      </c>
      <c r="E7176" s="15">
        <v>39.03</v>
      </c>
      <c r="F7176" s="16" t="s">
        <v>8</v>
      </c>
      <c r="G7176" s="38" t="str">
        <f>HYPERLINK("http://enext.ua/201")</f>
        <v>http://enext.ua/201</v>
      </c>
    </row>
    <row r="7177" spans="2:7" ht="11.25" outlineLevel="5" x14ac:dyDescent="0.2">
      <c r="B7177" s="14" t="s">
        <v>13537</v>
      </c>
      <c r="C7177" s="14" t="s">
        <v>13538</v>
      </c>
      <c r="D7177" s="14">
        <v>40</v>
      </c>
      <c r="E7177" s="15">
        <v>63.07</v>
      </c>
      <c r="F7177" s="16" t="s">
        <v>8</v>
      </c>
      <c r="G7177" s="38" t="str">
        <f>HYPERLINK("http://enext.ua/201/2")</f>
        <v>http://enext.ua/201/2</v>
      </c>
    </row>
    <row r="7178" spans="2:7" ht="11.25" outlineLevel="5" x14ac:dyDescent="0.2">
      <c r="B7178" s="14" t="s">
        <v>13539</v>
      </c>
      <c r="C7178" s="14" t="s">
        <v>13540</v>
      </c>
      <c r="D7178" s="14">
        <v>40</v>
      </c>
      <c r="E7178" s="15">
        <v>68.900000000000006</v>
      </c>
      <c r="F7178" s="16" t="s">
        <v>8</v>
      </c>
      <c r="G7178" s="38" t="str">
        <f>HYPERLINK("http://enext.ua/200/2")</f>
        <v>http://enext.ua/200/2</v>
      </c>
    </row>
    <row r="7179" spans="2:7" ht="11.25" outlineLevel="5" x14ac:dyDescent="0.2">
      <c r="B7179" s="14" t="s">
        <v>13541</v>
      </c>
      <c r="C7179" s="14" t="s">
        <v>13542</v>
      </c>
      <c r="D7179" s="14">
        <v>40</v>
      </c>
      <c r="E7179" s="15">
        <v>123.1</v>
      </c>
      <c r="F7179" s="16" t="s">
        <v>8</v>
      </c>
      <c r="G7179" s="38" t="str">
        <f>HYPERLINK("http://enext.ua/228")</f>
        <v>http://enext.ua/228</v>
      </c>
    </row>
    <row r="7180" spans="2:7" ht="11.25" outlineLevel="5" x14ac:dyDescent="0.2">
      <c r="B7180" s="14" t="s">
        <v>13543</v>
      </c>
      <c r="C7180" s="14" t="s">
        <v>13544</v>
      </c>
      <c r="D7180" s="14">
        <v>40</v>
      </c>
      <c r="E7180" s="15">
        <v>89.33</v>
      </c>
      <c r="F7180" s="16" t="s">
        <v>8</v>
      </c>
      <c r="G7180" s="38" t="str">
        <f>HYPERLINK("http://enext.ua/213")</f>
        <v>http://enext.ua/213</v>
      </c>
    </row>
    <row r="7181" spans="2:7" ht="12" outlineLevel="4" x14ac:dyDescent="0.2">
      <c r="B7181" s="12"/>
      <c r="C7181" s="37" t="s">
        <v>13545</v>
      </c>
      <c r="D7181" s="12"/>
      <c r="E7181" s="13"/>
      <c r="F7181" s="13"/>
      <c r="G7181" s="12"/>
    </row>
    <row r="7182" spans="2:7" ht="11.25" outlineLevel="5" x14ac:dyDescent="0.2">
      <c r="B7182" s="14" t="s">
        <v>13546</v>
      </c>
      <c r="C7182" s="14" t="s">
        <v>13547</v>
      </c>
      <c r="D7182" s="14">
        <v>40</v>
      </c>
      <c r="E7182" s="15">
        <v>44.52</v>
      </c>
      <c r="F7182" s="16" t="s">
        <v>8</v>
      </c>
      <c r="G7182" s="38" t="str">
        <f>HYPERLINK("http://enext.ua/205")</f>
        <v>http://enext.ua/205</v>
      </c>
    </row>
    <row r="7183" spans="2:7" ht="11.25" outlineLevel="5" x14ac:dyDescent="0.2">
      <c r="B7183" s="14" t="s">
        <v>13548</v>
      </c>
      <c r="C7183" s="14" t="s">
        <v>13549</v>
      </c>
      <c r="D7183" s="14">
        <v>40</v>
      </c>
      <c r="E7183" s="15">
        <v>37.9</v>
      </c>
      <c r="F7183" s="16" t="s">
        <v>8</v>
      </c>
      <c r="G7183" s="38" t="str">
        <f>HYPERLINK("http://enext.ua/204")</f>
        <v>http://enext.ua/204</v>
      </c>
    </row>
    <row r="7184" spans="2:7" ht="11.25" outlineLevel="5" x14ac:dyDescent="0.2">
      <c r="B7184" s="14" t="s">
        <v>13550</v>
      </c>
      <c r="C7184" s="14" t="s">
        <v>13551</v>
      </c>
      <c r="D7184" s="14">
        <v>40</v>
      </c>
      <c r="E7184" s="15">
        <v>42.4</v>
      </c>
      <c r="F7184" s="16" t="s">
        <v>8</v>
      </c>
      <c r="G7184" s="38" t="str">
        <f>HYPERLINK("http://enext.ua/207")</f>
        <v>http://enext.ua/207</v>
      </c>
    </row>
    <row r="7185" spans="2:7" ht="11.25" outlineLevel="5" x14ac:dyDescent="0.2">
      <c r="B7185" s="14" t="s">
        <v>13552</v>
      </c>
      <c r="C7185" s="14" t="s">
        <v>13553</v>
      </c>
      <c r="D7185" s="14">
        <v>40</v>
      </c>
      <c r="E7185" s="15">
        <v>37.1</v>
      </c>
      <c r="F7185" s="16" t="s">
        <v>8</v>
      </c>
      <c r="G7185" s="38" t="str">
        <f>HYPERLINK("http://enext.ua/209")</f>
        <v>http://enext.ua/209</v>
      </c>
    </row>
    <row r="7186" spans="2:7" ht="11.25" outlineLevel="5" x14ac:dyDescent="0.2">
      <c r="B7186" s="14" t="s">
        <v>13554</v>
      </c>
      <c r="C7186" s="14" t="s">
        <v>13555</v>
      </c>
      <c r="D7186" s="14">
        <v>40</v>
      </c>
      <c r="E7186" s="15">
        <v>44.52</v>
      </c>
      <c r="F7186" s="16" t="s">
        <v>8</v>
      </c>
      <c r="G7186" s="38" t="str">
        <f>HYPERLINK("http://enext.ua/208")</f>
        <v>http://enext.ua/208</v>
      </c>
    </row>
    <row r="7187" spans="2:7" ht="11.25" outlineLevel="5" x14ac:dyDescent="0.2">
      <c r="B7187" s="14" t="s">
        <v>13556</v>
      </c>
      <c r="C7187" s="14" t="s">
        <v>13557</v>
      </c>
      <c r="D7187" s="14">
        <v>40</v>
      </c>
      <c r="E7187" s="15">
        <v>42.83</v>
      </c>
      <c r="F7187" s="16" t="s">
        <v>8</v>
      </c>
      <c r="G7187" s="38" t="str">
        <f>HYPERLINK("http://enext.ua/206")</f>
        <v>http://enext.ua/206</v>
      </c>
    </row>
    <row r="7188" spans="2:7" ht="12" outlineLevel="4" x14ac:dyDescent="0.2">
      <c r="B7188" s="12"/>
      <c r="C7188" s="37" t="s">
        <v>13558</v>
      </c>
      <c r="D7188" s="12"/>
      <c r="E7188" s="13"/>
      <c r="F7188" s="13"/>
      <c r="G7188" s="12"/>
    </row>
    <row r="7189" spans="2:7" ht="11.25" outlineLevel="5" x14ac:dyDescent="0.2">
      <c r="B7189" s="14" t="s">
        <v>13559</v>
      </c>
      <c r="C7189" s="14" t="s">
        <v>13560</v>
      </c>
      <c r="D7189" s="14">
        <v>2</v>
      </c>
      <c r="E7189" s="15">
        <v>18.5</v>
      </c>
      <c r="F7189" s="16" t="s">
        <v>8</v>
      </c>
      <c r="G7189" s="38" t="str">
        <f>HYPERLINK("http://enext.ua/222")</f>
        <v>http://enext.ua/222</v>
      </c>
    </row>
    <row r="7190" spans="2:7" ht="11.25" outlineLevel="5" x14ac:dyDescent="0.2">
      <c r="B7190" s="14" t="s">
        <v>13561</v>
      </c>
      <c r="C7190" s="14" t="s">
        <v>13562</v>
      </c>
      <c r="D7190" s="14">
        <v>2</v>
      </c>
      <c r="E7190" s="15">
        <v>24.28</v>
      </c>
      <c r="F7190" s="16" t="s">
        <v>8</v>
      </c>
      <c r="G7190" s="38" t="str">
        <f>HYPERLINK("http://enext.ua/223")</f>
        <v>http://enext.ua/223</v>
      </c>
    </row>
    <row r="7191" spans="2:7" ht="11.25" outlineLevel="5" x14ac:dyDescent="0.2">
      <c r="B7191" s="14" t="s">
        <v>13563</v>
      </c>
      <c r="C7191" s="14" t="s">
        <v>13564</v>
      </c>
      <c r="D7191" s="14">
        <v>2</v>
      </c>
      <c r="E7191" s="15">
        <v>31.22</v>
      </c>
      <c r="F7191" s="16" t="s">
        <v>8</v>
      </c>
      <c r="G7191" s="38" t="str">
        <f>HYPERLINK("http://enext.ua/224")</f>
        <v>http://enext.ua/224</v>
      </c>
    </row>
    <row r="7192" spans="2:7" ht="12" outlineLevel="4" x14ac:dyDescent="0.2">
      <c r="B7192" s="12"/>
      <c r="C7192" s="37" t="s">
        <v>13565</v>
      </c>
      <c r="D7192" s="12"/>
      <c r="E7192" s="13"/>
      <c r="F7192" s="13"/>
      <c r="G7192" s="12"/>
    </row>
    <row r="7193" spans="2:7" ht="11.25" outlineLevel="5" x14ac:dyDescent="0.2">
      <c r="B7193" s="14" t="s">
        <v>13566</v>
      </c>
      <c r="C7193" s="14" t="s">
        <v>13567</v>
      </c>
      <c r="D7193" s="14">
        <v>10</v>
      </c>
      <c r="E7193" s="15">
        <v>6.05</v>
      </c>
      <c r="F7193" s="16" t="s">
        <v>8</v>
      </c>
      <c r="G7193" s="38" t="str">
        <f>HYPERLINK("http://enext.ua/225/RAL 8017")</f>
        <v>http://enext.ua/225/RAL 8017</v>
      </c>
    </row>
    <row r="7194" spans="2:7" ht="11.25" outlineLevel="5" x14ac:dyDescent="0.2">
      <c r="B7194" s="14" t="s">
        <v>13568</v>
      </c>
      <c r="C7194" s="14" t="s">
        <v>13569</v>
      </c>
      <c r="D7194" s="14">
        <v>10</v>
      </c>
      <c r="E7194" s="15">
        <v>6.05</v>
      </c>
      <c r="F7194" s="16" t="s">
        <v>8</v>
      </c>
      <c r="G7194" s="38" t="str">
        <f>HYPERLINK("http://enext.ua/225/RAL 1023")</f>
        <v>http://enext.ua/225/RAL 1023</v>
      </c>
    </row>
    <row r="7195" spans="2:7" ht="11.25" outlineLevel="5" x14ac:dyDescent="0.2">
      <c r="B7195" s="14" t="s">
        <v>13570</v>
      </c>
      <c r="C7195" s="14" t="s">
        <v>13571</v>
      </c>
      <c r="D7195" s="14">
        <v>10</v>
      </c>
      <c r="E7195" s="15">
        <v>6.05</v>
      </c>
      <c r="F7195" s="16" t="s">
        <v>8</v>
      </c>
      <c r="G7195" s="38" t="str">
        <f>HYPERLINK("http://enext.ua/225/RAL 6024")</f>
        <v>http://enext.ua/225/RAL 6024</v>
      </c>
    </row>
    <row r="7196" spans="2:7" ht="11.25" outlineLevel="5" x14ac:dyDescent="0.2">
      <c r="B7196" s="14" t="s">
        <v>13572</v>
      </c>
      <c r="C7196" s="14" t="s">
        <v>13573</v>
      </c>
      <c r="D7196" s="14">
        <v>10</v>
      </c>
      <c r="E7196" s="15">
        <v>6.05</v>
      </c>
      <c r="F7196" s="16" t="s">
        <v>8</v>
      </c>
      <c r="G7196" s="38" t="str">
        <f>HYPERLINK("http://enext.ua/225/RAL 5005")</f>
        <v>http://enext.ua/225/RAL 5005</v>
      </c>
    </row>
    <row r="7197" spans="2:7" ht="11.25" outlineLevel="5" x14ac:dyDescent="0.2">
      <c r="B7197" s="14" t="s">
        <v>13574</v>
      </c>
      <c r="C7197" s="14" t="s">
        <v>13575</v>
      </c>
      <c r="D7197" s="14">
        <v>10</v>
      </c>
      <c r="E7197" s="15">
        <v>6.05</v>
      </c>
      <c r="F7197" s="16" t="s">
        <v>8</v>
      </c>
      <c r="G7197" s="38" t="str">
        <f>HYPERLINK("http://enext.ua/225/RAL 7038")</f>
        <v>http://enext.ua/225/RAL 7038</v>
      </c>
    </row>
    <row r="7198" spans="2:7" ht="11.25" outlineLevel="5" x14ac:dyDescent="0.2">
      <c r="B7198" s="14" t="s">
        <v>13576</v>
      </c>
      <c r="C7198" s="14" t="s">
        <v>13577</v>
      </c>
      <c r="D7198" s="14">
        <v>10</v>
      </c>
      <c r="E7198" s="15">
        <v>6.05</v>
      </c>
      <c r="F7198" s="16" t="s">
        <v>8</v>
      </c>
      <c r="G7198" s="38" t="str">
        <f>HYPERLINK("http://enext.ua/225/RAL 3020")</f>
        <v>http://enext.ua/225/RAL 3020</v>
      </c>
    </row>
    <row r="7199" spans="2:7" ht="11.25" outlineLevel="5" x14ac:dyDescent="0.2">
      <c r="B7199" s="14" t="s">
        <v>13578</v>
      </c>
      <c r="C7199" s="14" t="s">
        <v>13579</v>
      </c>
      <c r="D7199" s="14">
        <v>10</v>
      </c>
      <c r="E7199" s="15">
        <v>6.05</v>
      </c>
      <c r="F7199" s="16" t="s">
        <v>8</v>
      </c>
      <c r="G7199" s="38" t="str">
        <f>HYPERLINK("http://enext.ua/225/RAL 9005")</f>
        <v>http://enext.ua/225/RAL 9005</v>
      </c>
    </row>
    <row r="7200" spans="2:7" ht="12" outlineLevel="4" x14ac:dyDescent="0.2">
      <c r="B7200" s="12"/>
      <c r="C7200" s="37" t="s">
        <v>13580</v>
      </c>
      <c r="D7200" s="12"/>
      <c r="E7200" s="13"/>
      <c r="F7200" s="13"/>
      <c r="G7200" s="12"/>
    </row>
    <row r="7201" spans="2:7" ht="11.25" outlineLevel="5" x14ac:dyDescent="0.2">
      <c r="B7201" s="14" t="s">
        <v>13581</v>
      </c>
      <c r="C7201" s="14" t="s">
        <v>13582</v>
      </c>
      <c r="D7201" s="14">
        <v>1</v>
      </c>
      <c r="E7201" s="15">
        <v>41.63</v>
      </c>
      <c r="F7201" s="16" t="s">
        <v>8</v>
      </c>
      <c r="G7201" s="38" t="str">
        <f>HYPERLINK("http://enext.ua/236")</f>
        <v>http://enext.ua/236</v>
      </c>
    </row>
    <row r="7202" spans="2:7" ht="11.25" outlineLevel="5" x14ac:dyDescent="0.2">
      <c r="B7202" s="14" t="s">
        <v>13583</v>
      </c>
      <c r="C7202" s="14" t="s">
        <v>13584</v>
      </c>
      <c r="D7202" s="14">
        <v>1</v>
      </c>
      <c r="E7202" s="15">
        <v>27.75</v>
      </c>
      <c r="F7202" s="16" t="s">
        <v>8</v>
      </c>
      <c r="G7202" s="38" t="str">
        <f>HYPERLINK("http://enext.ua/235")</f>
        <v>http://enext.ua/235</v>
      </c>
    </row>
    <row r="7203" spans="2:7" ht="12" outlineLevel="3" x14ac:dyDescent="0.2">
      <c r="B7203" s="10"/>
      <c r="C7203" s="36" t="s">
        <v>13585</v>
      </c>
      <c r="D7203" s="10"/>
      <c r="E7203" s="11"/>
      <c r="F7203" s="11"/>
      <c r="G7203" s="10"/>
    </row>
    <row r="7204" spans="2:7" ht="22.5" outlineLevel="4" x14ac:dyDescent="0.2">
      <c r="B7204" s="14" t="s">
        <v>13586</v>
      </c>
      <c r="C7204" s="14" t="s">
        <v>13587</v>
      </c>
      <c r="D7204" s="14">
        <v>10</v>
      </c>
      <c r="E7204" s="15">
        <v>50.72</v>
      </c>
      <c r="F7204" s="16" t="s">
        <v>8</v>
      </c>
      <c r="G7204" s="38" t="str">
        <f>HYPERLINK("http://enext.ua/p043001")</f>
        <v>http://enext.ua/p043001</v>
      </c>
    </row>
    <row r="7205" spans="2:7" ht="11.25" outlineLevel="4" x14ac:dyDescent="0.2">
      <c r="B7205" s="14" t="s">
        <v>13588</v>
      </c>
      <c r="C7205" s="14" t="s">
        <v>13589</v>
      </c>
      <c r="D7205" s="14">
        <v>10</v>
      </c>
      <c r="E7205" s="15">
        <v>53</v>
      </c>
      <c r="F7205" s="16" t="s">
        <v>8</v>
      </c>
      <c r="G7205" s="38" t="str">
        <f>HYPERLINK("http://enext.ua/p043004")</f>
        <v>http://enext.ua/p043004</v>
      </c>
    </row>
    <row r="7206" spans="2:7" ht="22.5" outlineLevel="4" x14ac:dyDescent="0.2">
      <c r="B7206" s="14" t="s">
        <v>13590</v>
      </c>
      <c r="C7206" s="14" t="s">
        <v>13591</v>
      </c>
      <c r="D7206" s="14">
        <v>10</v>
      </c>
      <c r="E7206" s="15">
        <v>58.3</v>
      </c>
      <c r="F7206" s="16" t="s">
        <v>8</v>
      </c>
      <c r="G7206" s="38" t="str">
        <f>HYPERLINK("http://enext.ua/p043003")</f>
        <v>http://enext.ua/p043003</v>
      </c>
    </row>
    <row r="7207" spans="2:7" ht="22.5" outlineLevel="4" x14ac:dyDescent="0.2">
      <c r="B7207" s="14" t="s">
        <v>13592</v>
      </c>
      <c r="C7207" s="14" t="s">
        <v>13593</v>
      </c>
      <c r="D7207" s="14">
        <v>10</v>
      </c>
      <c r="E7207" s="15">
        <v>51.01</v>
      </c>
      <c r="F7207" s="16" t="s">
        <v>8</v>
      </c>
      <c r="G7207" s="38" t="str">
        <f>HYPERLINK("http://enext.ua/p043007")</f>
        <v>http://enext.ua/p043007</v>
      </c>
    </row>
    <row r="7208" spans="2:7" ht="22.5" outlineLevel="4" x14ac:dyDescent="0.2">
      <c r="B7208" s="14" t="s">
        <v>13594</v>
      </c>
      <c r="C7208" s="14" t="s">
        <v>13595</v>
      </c>
      <c r="D7208" s="14">
        <v>6</v>
      </c>
      <c r="E7208" s="15">
        <v>80.56</v>
      </c>
      <c r="F7208" s="16" t="s">
        <v>8</v>
      </c>
      <c r="G7208" s="38" t="str">
        <f>HYPERLINK("http://enext.ua/p043009")</f>
        <v>http://enext.ua/p043009</v>
      </c>
    </row>
    <row r="7209" spans="2:7" ht="22.5" outlineLevel="4" x14ac:dyDescent="0.2">
      <c r="B7209" s="14" t="s">
        <v>13596</v>
      </c>
      <c r="C7209" s="14" t="s">
        <v>13597</v>
      </c>
      <c r="D7209" s="14">
        <v>10</v>
      </c>
      <c r="E7209" s="15">
        <v>57</v>
      </c>
      <c r="F7209" s="16" t="s">
        <v>8</v>
      </c>
      <c r="G7209" s="38" t="str">
        <f>HYPERLINK("http://enext.ua/p043011")</f>
        <v>http://enext.ua/p043011</v>
      </c>
    </row>
    <row r="7210" spans="2:7" ht="11.25" outlineLevel="4" x14ac:dyDescent="0.2">
      <c r="B7210" s="14" t="s">
        <v>13598</v>
      </c>
      <c r="C7210" s="14" t="s">
        <v>13599</v>
      </c>
      <c r="D7210" s="14">
        <v>10</v>
      </c>
      <c r="E7210" s="15">
        <v>721.88</v>
      </c>
      <c r="F7210" s="16" t="s">
        <v>8</v>
      </c>
      <c r="G7210" s="38" t="str">
        <f>HYPERLINK("http://enext.ua/p043016")</f>
        <v>http://enext.ua/p043016</v>
      </c>
    </row>
    <row r="7211" spans="2:7" ht="22.5" outlineLevel="4" x14ac:dyDescent="0.2">
      <c r="B7211" s="14" t="s">
        <v>13600</v>
      </c>
      <c r="C7211" s="14" t="s">
        <v>13601</v>
      </c>
      <c r="D7211" s="14">
        <v>6</v>
      </c>
      <c r="E7211" s="15">
        <v>749.93</v>
      </c>
      <c r="F7211" s="16" t="s">
        <v>8</v>
      </c>
      <c r="G7211" s="38" t="str">
        <f>HYPERLINK("http://enext.ua/p043015")</f>
        <v>http://enext.ua/p043015</v>
      </c>
    </row>
    <row r="7212" spans="2:7" ht="12" outlineLevel="3" x14ac:dyDescent="0.2">
      <c r="B7212" s="10"/>
      <c r="C7212" s="36" t="s">
        <v>13602</v>
      </c>
      <c r="D7212" s="10"/>
      <c r="E7212" s="11"/>
      <c r="F7212" s="11"/>
      <c r="G7212" s="10"/>
    </row>
    <row r="7213" spans="2:7" ht="22.5" outlineLevel="4" x14ac:dyDescent="0.2">
      <c r="B7213" s="14" t="s">
        <v>13603</v>
      </c>
      <c r="C7213" s="14" t="s">
        <v>13604</v>
      </c>
      <c r="D7213" s="14">
        <v>10</v>
      </c>
      <c r="E7213" s="15">
        <v>137.32</v>
      </c>
      <c r="F7213" s="16" t="s">
        <v>8</v>
      </c>
      <c r="G7213" s="38" t="str">
        <f>HYPERLINK("http://enext.ua/p044012")</f>
        <v>http://enext.ua/p044012</v>
      </c>
    </row>
    <row r="7214" spans="2:7" ht="22.5" outlineLevel="4" x14ac:dyDescent="0.2">
      <c r="B7214" s="14" t="s">
        <v>13605</v>
      </c>
      <c r="C7214" s="14" t="s">
        <v>13606</v>
      </c>
      <c r="D7214" s="14">
        <v>6</v>
      </c>
      <c r="E7214" s="15">
        <v>137.32</v>
      </c>
      <c r="F7214" s="16" t="s">
        <v>8</v>
      </c>
      <c r="G7214" s="38" t="str">
        <f>HYPERLINK("http://enext.ua/p044011")</f>
        <v>http://enext.ua/p044011</v>
      </c>
    </row>
    <row r="7215" spans="2:7" ht="12" outlineLevel="1" x14ac:dyDescent="0.2">
      <c r="B7215" s="6"/>
      <c r="C7215" s="34" t="s">
        <v>13607</v>
      </c>
      <c r="D7215" s="6"/>
      <c r="E7215" s="7"/>
      <c r="F7215" s="7"/>
      <c r="G7215" s="6"/>
    </row>
    <row r="7216" spans="2:7" ht="12" outlineLevel="2" x14ac:dyDescent="0.2">
      <c r="B7216" s="8"/>
      <c r="C7216" s="35" t="s">
        <v>13608</v>
      </c>
      <c r="D7216" s="8"/>
      <c r="E7216" s="9"/>
      <c r="F7216" s="9"/>
      <c r="G7216" s="8"/>
    </row>
    <row r="7217" spans="2:7" ht="11.25" outlineLevel="3" x14ac:dyDescent="0.2">
      <c r="B7217" s="14" t="s">
        <v>13609</v>
      </c>
      <c r="C7217" s="14" t="s">
        <v>13610</v>
      </c>
      <c r="D7217" s="14">
        <v>1</v>
      </c>
      <c r="E7217" s="17">
        <v>2154.6</v>
      </c>
      <c r="F7217" s="16" t="s">
        <v>8</v>
      </c>
      <c r="G7217" s="38" t="str">
        <f>HYPERLINK("http://enext.ua/h0010001")</f>
        <v>http://enext.ua/h0010001</v>
      </c>
    </row>
    <row r="7218" spans="2:7" ht="11.25" outlineLevel="3" x14ac:dyDescent="0.2">
      <c r="B7218" s="14" t="s">
        <v>13611</v>
      </c>
      <c r="C7218" s="14" t="s">
        <v>13612</v>
      </c>
      <c r="D7218" s="14">
        <v>1</v>
      </c>
      <c r="E7218" s="17">
        <v>2563.66</v>
      </c>
      <c r="F7218" s="16" t="s">
        <v>8</v>
      </c>
      <c r="G7218" s="38" t="str">
        <f>HYPERLINK("http://enext.ua/h0010002")</f>
        <v>http://enext.ua/h0010002</v>
      </c>
    </row>
    <row r="7219" spans="2:7" ht="11.25" outlineLevel="3" x14ac:dyDescent="0.2">
      <c r="B7219" s="14" t="s">
        <v>13613</v>
      </c>
      <c r="C7219" s="14" t="s">
        <v>13614</v>
      </c>
      <c r="D7219" s="14">
        <v>1</v>
      </c>
      <c r="E7219" s="17">
        <v>2948.4</v>
      </c>
      <c r="F7219" s="16" t="s">
        <v>8</v>
      </c>
      <c r="G7219" s="38" t="str">
        <f>HYPERLINK("http://enext.ua/h0010003")</f>
        <v>http://enext.ua/h0010003</v>
      </c>
    </row>
    <row r="7220" spans="2:7" ht="11.25" outlineLevel="3" x14ac:dyDescent="0.2">
      <c r="B7220" s="14" t="s">
        <v>13615</v>
      </c>
      <c r="C7220" s="14" t="s">
        <v>13616</v>
      </c>
      <c r="D7220" s="14">
        <v>1</v>
      </c>
      <c r="E7220" s="17">
        <v>3353.4</v>
      </c>
      <c r="F7220" s="16" t="s">
        <v>8</v>
      </c>
      <c r="G7220" s="38" t="str">
        <f>HYPERLINK("http://enext.ua/h0010004")</f>
        <v>http://enext.ua/h0010004</v>
      </c>
    </row>
    <row r="7221" spans="2:7" ht="11.25" outlineLevel="3" x14ac:dyDescent="0.2">
      <c r="B7221" s="14" t="s">
        <v>13617</v>
      </c>
      <c r="C7221" s="14" t="s">
        <v>13618</v>
      </c>
      <c r="D7221" s="14">
        <v>1</v>
      </c>
      <c r="E7221" s="17">
        <v>3742.2</v>
      </c>
      <c r="F7221" s="16" t="s">
        <v>8</v>
      </c>
      <c r="G7221" s="38" t="str">
        <f>HYPERLINK("http://enext.ua/h0010005")</f>
        <v>http://enext.ua/h0010005</v>
      </c>
    </row>
    <row r="7222" spans="2:7" ht="11.25" outlineLevel="3" x14ac:dyDescent="0.2">
      <c r="B7222" s="14" t="s">
        <v>13619</v>
      </c>
      <c r="C7222" s="14" t="s">
        <v>13620</v>
      </c>
      <c r="D7222" s="14">
        <v>1</v>
      </c>
      <c r="E7222" s="17">
        <v>4121.28</v>
      </c>
      <c r="F7222" s="16" t="s">
        <v>8</v>
      </c>
      <c r="G7222" s="38" t="str">
        <f>HYPERLINK("http://enext.ua/h0010006")</f>
        <v>http://enext.ua/h0010006</v>
      </c>
    </row>
    <row r="7223" spans="2:7" ht="11.25" outlineLevel="3" x14ac:dyDescent="0.2">
      <c r="B7223" s="14" t="s">
        <v>13621</v>
      </c>
      <c r="C7223" s="14" t="s">
        <v>13622</v>
      </c>
      <c r="D7223" s="14">
        <v>1</v>
      </c>
      <c r="E7223" s="17">
        <v>4479.3</v>
      </c>
      <c r="F7223" s="16" t="s">
        <v>8</v>
      </c>
      <c r="G7223" s="38" t="str">
        <f>HYPERLINK("http://enext.ua/h0010007")</f>
        <v>http://enext.ua/h0010007</v>
      </c>
    </row>
    <row r="7224" spans="2:7" ht="11.25" outlineLevel="3" x14ac:dyDescent="0.2">
      <c r="B7224" s="14" t="s">
        <v>13623</v>
      </c>
      <c r="C7224" s="14" t="s">
        <v>13624</v>
      </c>
      <c r="D7224" s="14">
        <v>1</v>
      </c>
      <c r="E7224" s="17">
        <v>4779</v>
      </c>
      <c r="F7224" s="16" t="s">
        <v>8</v>
      </c>
      <c r="G7224" s="38" t="str">
        <f>HYPERLINK("http://enext.ua/h0010008")</f>
        <v>http://enext.ua/h0010008</v>
      </c>
    </row>
    <row r="7225" spans="2:7" ht="11.25" outlineLevel="3" x14ac:dyDescent="0.2">
      <c r="B7225" s="14" t="s">
        <v>13625</v>
      </c>
      <c r="C7225" s="14" t="s">
        <v>13626</v>
      </c>
      <c r="D7225" s="14">
        <v>1</v>
      </c>
      <c r="E7225" s="17">
        <v>5127.3</v>
      </c>
      <c r="F7225" s="16" t="s">
        <v>8</v>
      </c>
      <c r="G7225" s="38" t="str">
        <f>HYPERLINK("http://enext.ua/h0010009")</f>
        <v>http://enext.ua/h0010009</v>
      </c>
    </row>
    <row r="7226" spans="2:7" ht="11.25" outlineLevel="3" x14ac:dyDescent="0.2">
      <c r="B7226" s="14" t="s">
        <v>13627</v>
      </c>
      <c r="C7226" s="14" t="s">
        <v>13628</v>
      </c>
      <c r="D7226" s="14">
        <v>1</v>
      </c>
      <c r="E7226" s="17">
        <v>5751</v>
      </c>
      <c r="F7226" s="16" t="s">
        <v>8</v>
      </c>
      <c r="G7226" s="38" t="str">
        <f>HYPERLINK("http://enext.ua/h0010010")</f>
        <v>http://enext.ua/h0010010</v>
      </c>
    </row>
    <row r="7227" spans="2:7" ht="11.25" outlineLevel="3" x14ac:dyDescent="0.2">
      <c r="B7227" s="14" t="s">
        <v>13629</v>
      </c>
      <c r="C7227" s="14" t="s">
        <v>13630</v>
      </c>
      <c r="D7227" s="14">
        <v>4</v>
      </c>
      <c r="E7227" s="17">
        <v>6374.7</v>
      </c>
      <c r="F7227" s="16" t="s">
        <v>8</v>
      </c>
      <c r="G7227" s="38" t="str">
        <f>HYPERLINK("http://enext.ua/h0010011")</f>
        <v>http://enext.ua/h0010011</v>
      </c>
    </row>
    <row r="7228" spans="2:7" ht="11.25" outlineLevel="3" x14ac:dyDescent="0.2">
      <c r="B7228" s="14" t="s">
        <v>13631</v>
      </c>
      <c r="C7228" s="14" t="s">
        <v>13632</v>
      </c>
      <c r="D7228" s="14">
        <v>1</v>
      </c>
      <c r="E7228" s="17">
        <v>7018.66</v>
      </c>
      <c r="F7228" s="16" t="s">
        <v>8</v>
      </c>
      <c r="G7228" s="38" t="str">
        <f>HYPERLINK("http://enext.ua/h0010012")</f>
        <v>http://enext.ua/h0010012</v>
      </c>
    </row>
    <row r="7229" spans="2:7" ht="11.25" outlineLevel="3" x14ac:dyDescent="0.2">
      <c r="B7229" s="14" t="s">
        <v>13633</v>
      </c>
      <c r="C7229" s="14" t="s">
        <v>13634</v>
      </c>
      <c r="D7229" s="14">
        <v>1</v>
      </c>
      <c r="E7229" s="17">
        <v>7735.5</v>
      </c>
      <c r="F7229" s="16" t="s">
        <v>8</v>
      </c>
      <c r="G7229" s="38" t="str">
        <f>HYPERLINK("http://enext.ua/h0010013")</f>
        <v>http://enext.ua/h0010013</v>
      </c>
    </row>
    <row r="7230" spans="2:7" ht="11.25" outlineLevel="3" x14ac:dyDescent="0.2">
      <c r="B7230" s="14" t="s">
        <v>13635</v>
      </c>
      <c r="C7230" s="14" t="s">
        <v>13636</v>
      </c>
      <c r="D7230" s="14">
        <v>1</v>
      </c>
      <c r="E7230" s="17">
        <v>8290.36</v>
      </c>
      <c r="F7230" s="16" t="s">
        <v>8</v>
      </c>
      <c r="G7230" s="38" t="str">
        <f>HYPERLINK("http://enext.ua/h0010014")</f>
        <v>http://enext.ua/h0010014</v>
      </c>
    </row>
    <row r="7231" spans="2:7" ht="11.25" outlineLevel="3" x14ac:dyDescent="0.2">
      <c r="B7231" s="14" t="s">
        <v>13637</v>
      </c>
      <c r="C7231" s="14" t="s">
        <v>13638</v>
      </c>
      <c r="D7231" s="14">
        <v>1</v>
      </c>
      <c r="E7231" s="17">
        <v>9242.1</v>
      </c>
      <c r="F7231" s="16" t="s">
        <v>8</v>
      </c>
      <c r="G7231" s="38" t="str">
        <f>HYPERLINK("http://enext.ua/h0010015")</f>
        <v>http://enext.ua/h0010015</v>
      </c>
    </row>
    <row r="7232" spans="2:7" ht="11.25" outlineLevel="3" x14ac:dyDescent="0.2">
      <c r="B7232" s="14" t="s">
        <v>13639</v>
      </c>
      <c r="C7232" s="14" t="s">
        <v>13640</v>
      </c>
      <c r="D7232" s="14">
        <v>1</v>
      </c>
      <c r="E7232" s="17">
        <v>9582.2999999999993</v>
      </c>
      <c r="F7232" s="16" t="s">
        <v>8</v>
      </c>
      <c r="G7232" s="38" t="str">
        <f>HYPERLINK("http://enext.ua/h0010016")</f>
        <v>http://enext.ua/h0010016</v>
      </c>
    </row>
    <row r="7233" spans="2:7" ht="11.25" outlineLevel="3" x14ac:dyDescent="0.2">
      <c r="B7233" s="14" t="s">
        <v>13641</v>
      </c>
      <c r="C7233" s="14" t="s">
        <v>13642</v>
      </c>
      <c r="D7233" s="14">
        <v>1</v>
      </c>
      <c r="E7233" s="17">
        <v>11323.8</v>
      </c>
      <c r="F7233" s="16" t="s">
        <v>8</v>
      </c>
      <c r="G7233" s="38" t="str">
        <f>HYPERLINK("http://enext.ua/h0010017")</f>
        <v>http://enext.ua/h0010017</v>
      </c>
    </row>
    <row r="7234" spans="2:7" ht="12" outlineLevel="2" x14ac:dyDescent="0.2">
      <c r="B7234" s="8"/>
      <c r="C7234" s="35" t="s">
        <v>13643</v>
      </c>
      <c r="D7234" s="8"/>
      <c r="E7234" s="9"/>
      <c r="F7234" s="9"/>
      <c r="G7234" s="8"/>
    </row>
    <row r="7235" spans="2:7" ht="11.25" outlineLevel="3" x14ac:dyDescent="0.2">
      <c r="B7235" s="14" t="s">
        <v>13644</v>
      </c>
      <c r="C7235" s="14" t="s">
        <v>13645</v>
      </c>
      <c r="D7235" s="14">
        <v>1</v>
      </c>
      <c r="E7235" s="17">
        <v>1180</v>
      </c>
      <c r="F7235" s="16" t="s">
        <v>8</v>
      </c>
      <c r="G7235" s="38" t="str">
        <f>HYPERLINK("http://enext.ua/h0020001")</f>
        <v>http://enext.ua/h0020001</v>
      </c>
    </row>
    <row r="7236" spans="2:7" ht="11.25" outlineLevel="3" x14ac:dyDescent="0.2">
      <c r="B7236" s="14" t="s">
        <v>13646</v>
      </c>
      <c r="C7236" s="14" t="s">
        <v>13647</v>
      </c>
      <c r="D7236" s="14">
        <v>1</v>
      </c>
      <c r="E7236" s="17">
        <v>1450</v>
      </c>
      <c r="F7236" s="16" t="s">
        <v>8</v>
      </c>
      <c r="G7236" s="38" t="str">
        <f>HYPERLINK("http://enext.ua/h0020002")</f>
        <v>http://enext.ua/h0020002</v>
      </c>
    </row>
    <row r="7237" spans="2:7" ht="11.25" outlineLevel="3" x14ac:dyDescent="0.2">
      <c r="B7237" s="14" t="s">
        <v>13648</v>
      </c>
      <c r="C7237" s="14" t="s">
        <v>13649</v>
      </c>
      <c r="D7237" s="14">
        <v>1</v>
      </c>
      <c r="E7237" s="17">
        <v>1515</v>
      </c>
      <c r="F7237" s="16" t="s">
        <v>8</v>
      </c>
      <c r="G7237" s="38" t="str">
        <f>HYPERLINK("http://enext.ua/h0020003")</f>
        <v>http://enext.ua/h0020003</v>
      </c>
    </row>
    <row r="7238" spans="2:7" ht="11.25" outlineLevel="3" x14ac:dyDescent="0.2">
      <c r="B7238" s="14" t="s">
        <v>13650</v>
      </c>
      <c r="C7238" s="14" t="s">
        <v>13651</v>
      </c>
      <c r="D7238" s="14">
        <v>1</v>
      </c>
      <c r="E7238" s="17">
        <v>1605</v>
      </c>
      <c r="F7238" s="16" t="s">
        <v>8</v>
      </c>
      <c r="G7238" s="38" t="str">
        <f>HYPERLINK("http://enext.ua/h0020004")</f>
        <v>http://enext.ua/h0020004</v>
      </c>
    </row>
    <row r="7239" spans="2:7" ht="11.25" outlineLevel="3" x14ac:dyDescent="0.2">
      <c r="B7239" s="14" t="s">
        <v>13652</v>
      </c>
      <c r="C7239" s="14" t="s">
        <v>13653</v>
      </c>
      <c r="D7239" s="14">
        <v>1</v>
      </c>
      <c r="E7239" s="17">
        <v>1850</v>
      </c>
      <c r="F7239" s="16" t="s">
        <v>8</v>
      </c>
      <c r="G7239" s="38" t="str">
        <f>HYPERLINK("http://enext.ua/h0020005")</f>
        <v>http://enext.ua/h0020005</v>
      </c>
    </row>
    <row r="7240" spans="2:7" ht="11.25" outlineLevel="3" x14ac:dyDescent="0.2">
      <c r="B7240" s="14" t="s">
        <v>13654</v>
      </c>
      <c r="C7240" s="14" t="s">
        <v>13655</v>
      </c>
      <c r="D7240" s="14">
        <v>1</v>
      </c>
      <c r="E7240" s="17">
        <v>2045</v>
      </c>
      <c r="F7240" s="16" t="s">
        <v>8</v>
      </c>
      <c r="G7240" s="38" t="str">
        <f>HYPERLINK("http://enext.ua/h0020006")</f>
        <v>http://enext.ua/h0020006</v>
      </c>
    </row>
    <row r="7241" spans="2:7" ht="11.25" outlineLevel="3" x14ac:dyDescent="0.2">
      <c r="B7241" s="14" t="s">
        <v>13656</v>
      </c>
      <c r="C7241" s="14" t="s">
        <v>13657</v>
      </c>
      <c r="D7241" s="14">
        <v>1</v>
      </c>
      <c r="E7241" s="17">
        <v>2425</v>
      </c>
      <c r="F7241" s="16" t="s">
        <v>8</v>
      </c>
      <c r="G7241" s="38" t="str">
        <f>HYPERLINK("http://enext.ua/h0020008")</f>
        <v>http://enext.ua/h0020008</v>
      </c>
    </row>
    <row r="7242" spans="2:7" ht="11.25" outlineLevel="3" x14ac:dyDescent="0.2">
      <c r="B7242" s="14" t="s">
        <v>13658</v>
      </c>
      <c r="C7242" s="14" t="s">
        <v>13659</v>
      </c>
      <c r="D7242" s="14">
        <v>1</v>
      </c>
      <c r="E7242" s="17">
        <v>2675</v>
      </c>
      <c r="F7242" s="16" t="s">
        <v>8</v>
      </c>
      <c r="G7242" s="38" t="str">
        <f>HYPERLINK("http://enext.ua/h0020009")</f>
        <v>http://enext.ua/h0020009</v>
      </c>
    </row>
    <row r="7243" spans="2:7" ht="11.25" outlineLevel="3" x14ac:dyDescent="0.2">
      <c r="B7243" s="14" t="s">
        <v>13660</v>
      </c>
      <c r="C7243" s="14" t="s">
        <v>13661</v>
      </c>
      <c r="D7243" s="14">
        <v>1</v>
      </c>
      <c r="E7243" s="17">
        <v>3080</v>
      </c>
      <c r="F7243" s="16" t="s">
        <v>8</v>
      </c>
      <c r="G7243" s="38" t="str">
        <f>HYPERLINK("http://enext.ua/h0020007")</f>
        <v>http://enext.ua/h0020007</v>
      </c>
    </row>
    <row r="7244" spans="2:7" ht="11.25" outlineLevel="3" x14ac:dyDescent="0.2">
      <c r="B7244" s="14" t="s">
        <v>13662</v>
      </c>
      <c r="C7244" s="14" t="s">
        <v>13663</v>
      </c>
      <c r="D7244" s="14">
        <v>1</v>
      </c>
      <c r="E7244" s="17">
        <v>3410</v>
      </c>
      <c r="F7244" s="16" t="s">
        <v>8</v>
      </c>
      <c r="G7244" s="38" t="str">
        <f>HYPERLINK("http://enext.ua/h0020010")</f>
        <v>http://enext.ua/h0020010</v>
      </c>
    </row>
    <row r="7245" spans="2:7" ht="11.25" outlineLevel="3" x14ac:dyDescent="0.2">
      <c r="B7245" s="14" t="s">
        <v>13664</v>
      </c>
      <c r="C7245" s="14" t="s">
        <v>13665</v>
      </c>
      <c r="D7245" s="14">
        <v>1</v>
      </c>
      <c r="E7245" s="17">
        <v>4190</v>
      </c>
      <c r="F7245" s="16" t="s">
        <v>8</v>
      </c>
      <c r="G7245" s="38" t="str">
        <f>HYPERLINK("http://enext.ua/h0020011")</f>
        <v>http://enext.ua/h0020011</v>
      </c>
    </row>
    <row r="7246" spans="2:7" ht="11.25" outlineLevel="3" x14ac:dyDescent="0.2">
      <c r="B7246" s="14" t="s">
        <v>13666</v>
      </c>
      <c r="C7246" s="14" t="s">
        <v>13667</v>
      </c>
      <c r="D7246" s="14">
        <v>1</v>
      </c>
      <c r="E7246" s="17">
        <v>4770</v>
      </c>
      <c r="F7246" s="16" t="s">
        <v>8</v>
      </c>
      <c r="G7246" s="38" t="str">
        <f>HYPERLINK("http://enext.ua/h0020012")</f>
        <v>http://enext.ua/h0020012</v>
      </c>
    </row>
    <row r="7247" spans="2:7" ht="11.25" outlineLevel="3" x14ac:dyDescent="0.2">
      <c r="B7247" s="14" t="s">
        <v>13668</v>
      </c>
      <c r="C7247" s="14" t="s">
        <v>13669</v>
      </c>
      <c r="D7247" s="14">
        <v>1</v>
      </c>
      <c r="E7247" s="17">
        <v>5035</v>
      </c>
      <c r="F7247" s="16" t="s">
        <v>8</v>
      </c>
      <c r="G7247" s="38" t="str">
        <f>HYPERLINK("http://enext.ua/h0020013")</f>
        <v>http://enext.ua/h0020013</v>
      </c>
    </row>
    <row r="7248" spans="2:7" ht="11.25" outlineLevel="3" x14ac:dyDescent="0.2">
      <c r="B7248" s="14" t="s">
        <v>13670</v>
      </c>
      <c r="C7248" s="14" t="s">
        <v>13671</v>
      </c>
      <c r="D7248" s="14">
        <v>1</v>
      </c>
      <c r="E7248" s="17">
        <v>6980</v>
      </c>
      <c r="F7248" s="16" t="s">
        <v>8</v>
      </c>
      <c r="G7248" s="38" t="str">
        <f>HYPERLINK("http://enext.ua/h0020014")</f>
        <v>http://enext.ua/h0020014</v>
      </c>
    </row>
    <row r="7249" spans="2:7" ht="12" outlineLevel="2" x14ac:dyDescent="0.2">
      <c r="B7249" s="8"/>
      <c r="C7249" s="35" t="s">
        <v>13672</v>
      </c>
      <c r="D7249" s="8"/>
      <c r="E7249" s="9"/>
      <c r="F7249" s="9"/>
      <c r="G7249" s="8"/>
    </row>
    <row r="7250" spans="2:7" ht="11.25" outlineLevel="3" x14ac:dyDescent="0.2">
      <c r="B7250" s="14" t="s">
        <v>13673</v>
      </c>
      <c r="C7250" s="14" t="s">
        <v>13674</v>
      </c>
      <c r="D7250" s="14">
        <v>1</v>
      </c>
      <c r="E7250" s="17">
        <v>1590</v>
      </c>
      <c r="F7250" s="16" t="s">
        <v>8</v>
      </c>
      <c r="G7250" s="38" t="str">
        <f>HYPERLINK("http://enext.ua/h0030001")</f>
        <v>http://enext.ua/h0030001</v>
      </c>
    </row>
    <row r="7251" spans="2:7" ht="11.25" outlineLevel="3" x14ac:dyDescent="0.2">
      <c r="B7251" s="14" t="s">
        <v>13675</v>
      </c>
      <c r="C7251" s="14" t="s">
        <v>13676</v>
      </c>
      <c r="D7251" s="14">
        <v>1</v>
      </c>
      <c r="E7251" s="17">
        <v>1800</v>
      </c>
      <c r="F7251" s="16" t="s">
        <v>8</v>
      </c>
      <c r="G7251" s="38" t="str">
        <f>HYPERLINK("http://enext.ua/h0030002")</f>
        <v>http://enext.ua/h0030002</v>
      </c>
    </row>
    <row r="7252" spans="2:7" ht="11.25" outlineLevel="3" x14ac:dyDescent="0.2">
      <c r="B7252" s="14" t="s">
        <v>13677</v>
      </c>
      <c r="C7252" s="14" t="s">
        <v>13678</v>
      </c>
      <c r="D7252" s="14">
        <v>1</v>
      </c>
      <c r="E7252" s="17">
        <v>2170</v>
      </c>
      <c r="F7252" s="16" t="s">
        <v>8</v>
      </c>
      <c r="G7252" s="38" t="str">
        <f>HYPERLINK("http://enext.ua/h0030003")</f>
        <v>http://enext.ua/h0030003</v>
      </c>
    </row>
    <row r="7253" spans="2:7" ht="11.25" outlineLevel="3" x14ac:dyDescent="0.2">
      <c r="B7253" s="14" t="s">
        <v>13679</v>
      </c>
      <c r="C7253" s="14" t="s">
        <v>13680</v>
      </c>
      <c r="D7253" s="14">
        <v>1</v>
      </c>
      <c r="E7253" s="17">
        <v>2220</v>
      </c>
      <c r="F7253" s="16" t="s">
        <v>8</v>
      </c>
      <c r="G7253" s="38" t="str">
        <f>HYPERLINK("http://enext.ua/h0030004")</f>
        <v>http://enext.ua/h0030004</v>
      </c>
    </row>
    <row r="7254" spans="2:7" ht="11.25" outlineLevel="3" x14ac:dyDescent="0.2">
      <c r="B7254" s="14" t="s">
        <v>13681</v>
      </c>
      <c r="C7254" s="14" t="s">
        <v>13682</v>
      </c>
      <c r="D7254" s="14">
        <v>1</v>
      </c>
      <c r="E7254" s="17">
        <v>2440</v>
      </c>
      <c r="F7254" s="16" t="s">
        <v>8</v>
      </c>
      <c r="G7254" s="38" t="str">
        <f>HYPERLINK("http://enext.ua/h0030005")</f>
        <v>http://enext.ua/h0030005</v>
      </c>
    </row>
    <row r="7255" spans="2:7" ht="11.25" outlineLevel="3" x14ac:dyDescent="0.2">
      <c r="B7255" s="14" t="s">
        <v>13683</v>
      </c>
      <c r="C7255" s="14" t="s">
        <v>13684</v>
      </c>
      <c r="D7255" s="14">
        <v>1</v>
      </c>
      <c r="E7255" s="17">
        <v>2890</v>
      </c>
      <c r="F7255" s="16" t="s">
        <v>8</v>
      </c>
      <c r="G7255" s="38" t="str">
        <f>HYPERLINK("http://enext.ua/h0030006")</f>
        <v>http://enext.ua/h0030006</v>
      </c>
    </row>
    <row r="7256" spans="2:7" ht="11.25" outlineLevel="3" x14ac:dyDescent="0.2">
      <c r="B7256" s="14" t="s">
        <v>13685</v>
      </c>
      <c r="C7256" s="14" t="s">
        <v>13686</v>
      </c>
      <c r="D7256" s="14">
        <v>1</v>
      </c>
      <c r="E7256" s="17">
        <v>3255</v>
      </c>
      <c r="F7256" s="16" t="s">
        <v>8</v>
      </c>
      <c r="G7256" s="38" t="str">
        <f>HYPERLINK("http://enext.ua/h0030007")</f>
        <v>http://enext.ua/h0030007</v>
      </c>
    </row>
    <row r="7257" spans="2:7" ht="11.25" outlineLevel="3" x14ac:dyDescent="0.2">
      <c r="B7257" s="14" t="s">
        <v>13687</v>
      </c>
      <c r="C7257" s="14" t="s">
        <v>13688</v>
      </c>
      <c r="D7257" s="14">
        <v>1</v>
      </c>
      <c r="E7257" s="17">
        <v>3532</v>
      </c>
      <c r="F7257" s="16" t="s">
        <v>8</v>
      </c>
      <c r="G7257" s="38" t="str">
        <f>HYPERLINK("http://enext.ua/h0030008")</f>
        <v>http://enext.ua/h0030008</v>
      </c>
    </row>
    <row r="7258" spans="2:7" ht="11.25" outlineLevel="3" x14ac:dyDescent="0.2">
      <c r="B7258" s="14" t="s">
        <v>13689</v>
      </c>
      <c r="C7258" s="14" t="s">
        <v>13690</v>
      </c>
      <c r="D7258" s="14">
        <v>1</v>
      </c>
      <c r="E7258" s="17">
        <v>4190</v>
      </c>
      <c r="F7258" s="16" t="s">
        <v>8</v>
      </c>
      <c r="G7258" s="38" t="str">
        <f>HYPERLINK("http://enext.ua/h0030009")</f>
        <v>http://enext.ua/h0030009</v>
      </c>
    </row>
    <row r="7259" spans="2:7" ht="11.25" outlineLevel="3" x14ac:dyDescent="0.2">
      <c r="B7259" s="14" t="s">
        <v>13691</v>
      </c>
      <c r="C7259" s="14" t="s">
        <v>13692</v>
      </c>
      <c r="D7259" s="14">
        <v>1</v>
      </c>
      <c r="E7259" s="17">
        <v>4930</v>
      </c>
      <c r="F7259" s="16" t="s">
        <v>8</v>
      </c>
      <c r="G7259" s="38" t="str">
        <f>HYPERLINK("http://enext.ua/h0030010")</f>
        <v>http://enext.ua/h0030010</v>
      </c>
    </row>
    <row r="7260" spans="2:7" ht="11.25" outlineLevel="3" x14ac:dyDescent="0.2">
      <c r="B7260" s="14" t="s">
        <v>13693</v>
      </c>
      <c r="C7260" s="14" t="s">
        <v>13694</v>
      </c>
      <c r="D7260" s="14">
        <v>1</v>
      </c>
      <c r="E7260" s="17">
        <v>6120</v>
      </c>
      <c r="F7260" s="16" t="s">
        <v>8</v>
      </c>
      <c r="G7260" s="38" t="str">
        <f>HYPERLINK("http://enext.ua/h0030011")</f>
        <v>http://enext.ua/h0030011</v>
      </c>
    </row>
    <row r="7261" spans="2:7" ht="11.25" outlineLevel="3" x14ac:dyDescent="0.2">
      <c r="B7261" s="14" t="s">
        <v>13695</v>
      </c>
      <c r="C7261" s="14" t="s">
        <v>13696</v>
      </c>
      <c r="D7261" s="14">
        <v>1</v>
      </c>
      <c r="E7261" s="17">
        <v>6930</v>
      </c>
      <c r="F7261" s="16" t="s">
        <v>8</v>
      </c>
      <c r="G7261" s="38" t="str">
        <f>HYPERLINK("http://enext.ua/h0030012")</f>
        <v>http://enext.ua/h0030012</v>
      </c>
    </row>
    <row r="7262" spans="2:7" ht="11.25" outlineLevel="3" x14ac:dyDescent="0.2">
      <c r="B7262" s="14" t="s">
        <v>13697</v>
      </c>
      <c r="C7262" s="14" t="s">
        <v>13698</v>
      </c>
      <c r="D7262" s="14">
        <v>1</v>
      </c>
      <c r="E7262" s="17">
        <v>7810</v>
      </c>
      <c r="F7262" s="16" t="s">
        <v>8</v>
      </c>
      <c r="G7262" s="38" t="str">
        <f>HYPERLINK("http://enext.ua/h0030013")</f>
        <v>http://enext.ua/h0030013</v>
      </c>
    </row>
    <row r="7263" spans="2:7" ht="11.25" outlineLevel="3" x14ac:dyDescent="0.2">
      <c r="B7263" s="14" t="s">
        <v>13699</v>
      </c>
      <c r="C7263" s="14" t="s">
        <v>13700</v>
      </c>
      <c r="D7263" s="14">
        <v>1</v>
      </c>
      <c r="E7263" s="17">
        <v>8455</v>
      </c>
      <c r="F7263" s="16" t="s">
        <v>8</v>
      </c>
      <c r="G7263" s="38" t="str">
        <f>HYPERLINK("http://enext.ua/h0030014")</f>
        <v>http://enext.ua/h0030014</v>
      </c>
    </row>
    <row r="7264" spans="2:7" ht="11.25" outlineLevel="3" x14ac:dyDescent="0.2">
      <c r="B7264" s="14" t="s">
        <v>13701</v>
      </c>
      <c r="C7264" s="14" t="s">
        <v>13702</v>
      </c>
      <c r="D7264" s="14">
        <v>1</v>
      </c>
      <c r="E7264" s="17">
        <v>8855</v>
      </c>
      <c r="F7264" s="16" t="s">
        <v>8</v>
      </c>
      <c r="G7264" s="38" t="str">
        <f>HYPERLINK("http://enext.ua/h0030015")</f>
        <v>http://enext.ua/h0030015</v>
      </c>
    </row>
    <row r="7265" spans="2:7" ht="12" outlineLevel="2" x14ac:dyDescent="0.2">
      <c r="B7265" s="8"/>
      <c r="C7265" s="35" t="s">
        <v>13703</v>
      </c>
      <c r="D7265" s="8"/>
      <c r="E7265" s="9"/>
      <c r="F7265" s="9"/>
      <c r="G7265" s="8"/>
    </row>
    <row r="7266" spans="2:7" ht="11.25" outlineLevel="3" x14ac:dyDescent="0.2">
      <c r="B7266" s="14" t="s">
        <v>13704</v>
      </c>
      <c r="C7266" s="14" t="s">
        <v>13705</v>
      </c>
      <c r="D7266" s="14">
        <v>1</v>
      </c>
      <c r="E7266" s="15">
        <v>236.62</v>
      </c>
      <c r="F7266" s="16" t="s">
        <v>4214</v>
      </c>
      <c r="G7266" s="38" t="str">
        <f>HYPERLINK("http://enext.ua/h12550070")</f>
        <v>http://enext.ua/h12550070</v>
      </c>
    </row>
    <row r="7267" spans="2:7" ht="11.25" outlineLevel="3" x14ac:dyDescent="0.2">
      <c r="B7267" s="14" t="s">
        <v>13706</v>
      </c>
      <c r="C7267" s="14" t="s">
        <v>13707</v>
      </c>
      <c r="D7267" s="14">
        <v>1</v>
      </c>
      <c r="E7267" s="15">
        <v>241.61</v>
      </c>
      <c r="F7267" s="16" t="s">
        <v>4214</v>
      </c>
      <c r="G7267" s="38" t="str">
        <f>HYPERLINK("http://enext.ua/h12550071")</f>
        <v>http://enext.ua/h12550071</v>
      </c>
    </row>
    <row r="7268" spans="2:7" ht="11.25" outlineLevel="3" x14ac:dyDescent="0.2">
      <c r="B7268" s="14" t="s">
        <v>13708</v>
      </c>
      <c r="C7268" s="14" t="s">
        <v>13709</v>
      </c>
      <c r="D7268" s="14">
        <v>1</v>
      </c>
      <c r="E7268" s="15">
        <v>249.08</v>
      </c>
      <c r="F7268" s="16" t="s">
        <v>4214</v>
      </c>
      <c r="G7268" s="38" t="str">
        <f>HYPERLINK("http://enext.ua/h12550072")</f>
        <v>http://enext.ua/h12550072</v>
      </c>
    </row>
    <row r="7269" spans="2:7" ht="11.25" outlineLevel="3" x14ac:dyDescent="0.2">
      <c r="B7269" s="14" t="s">
        <v>13710</v>
      </c>
      <c r="C7269" s="14" t="s">
        <v>13711</v>
      </c>
      <c r="D7269" s="14">
        <v>1</v>
      </c>
      <c r="E7269" s="15">
        <v>209.45</v>
      </c>
      <c r="F7269" s="16" t="s">
        <v>8</v>
      </c>
      <c r="G7269" s="14"/>
    </row>
    <row r="7270" spans="2:7" ht="12" outlineLevel="2" x14ac:dyDescent="0.2">
      <c r="B7270" s="8"/>
      <c r="C7270" s="35" t="s">
        <v>13712</v>
      </c>
      <c r="D7270" s="8"/>
      <c r="E7270" s="9"/>
      <c r="F7270" s="9"/>
      <c r="G7270" s="8"/>
    </row>
    <row r="7271" spans="2:7" ht="11.25" outlineLevel="3" x14ac:dyDescent="0.2">
      <c r="B7271" s="14" t="s">
        <v>13713</v>
      </c>
      <c r="C7271" s="14" t="s">
        <v>13714</v>
      </c>
      <c r="D7271" s="14">
        <v>1</v>
      </c>
      <c r="E7271" s="15">
        <v>108.82</v>
      </c>
      <c r="F7271" s="16" t="s">
        <v>8</v>
      </c>
      <c r="G7271" s="14"/>
    </row>
    <row r="7272" spans="2:7" ht="11.25" outlineLevel="3" x14ac:dyDescent="0.2">
      <c r="B7272" s="14" t="s">
        <v>13715</v>
      </c>
      <c r="C7272" s="14" t="s">
        <v>13716</v>
      </c>
      <c r="D7272" s="14">
        <v>1</v>
      </c>
      <c r="E7272" s="15">
        <v>672.73</v>
      </c>
      <c r="F7272" s="16" t="s">
        <v>8</v>
      </c>
      <c r="G7272" s="38" t="str">
        <f>HYPERLINK("http://enext.ua/LTC230")</f>
        <v>http://enext.ua/LTC230</v>
      </c>
    </row>
    <row r="7273" spans="2:7" ht="11.25" outlineLevel="3" x14ac:dyDescent="0.2">
      <c r="B7273" s="14" t="s">
        <v>13717</v>
      </c>
      <c r="C7273" s="14" t="s">
        <v>13718</v>
      </c>
      <c r="D7273" s="14">
        <v>1</v>
      </c>
      <c r="E7273" s="17">
        <v>1209.0899999999999</v>
      </c>
      <c r="F7273" s="16" t="s">
        <v>8</v>
      </c>
      <c r="G7273" s="38" t="str">
        <f>HYPERLINK("http://enext.ua/LTC730")</f>
        <v>http://enext.ua/LTC730</v>
      </c>
    </row>
    <row r="7274" spans="2:7" ht="11.25" outlineLevel="3" x14ac:dyDescent="0.2">
      <c r="B7274" s="14" t="s">
        <v>13719</v>
      </c>
      <c r="C7274" s="14" t="s">
        <v>13720</v>
      </c>
      <c r="D7274" s="14">
        <v>1</v>
      </c>
      <c r="E7274" s="17">
        <v>1049.78</v>
      </c>
      <c r="F7274" s="16" t="s">
        <v>8</v>
      </c>
      <c r="G7274" s="14"/>
    </row>
    <row r="7275" spans="2:7" ht="12" outlineLevel="2" x14ac:dyDescent="0.2">
      <c r="B7275" s="8"/>
      <c r="C7275" s="35" t="s">
        <v>13721</v>
      </c>
      <c r="D7275" s="8"/>
      <c r="E7275" s="9"/>
      <c r="F7275" s="9"/>
      <c r="G7275" s="8"/>
    </row>
    <row r="7276" spans="2:7" ht="11.25" outlineLevel="3" x14ac:dyDescent="0.2">
      <c r="B7276" s="14" t="s">
        <v>13722</v>
      </c>
      <c r="C7276" s="14" t="s">
        <v>13723</v>
      </c>
      <c r="D7276" s="14">
        <v>1</v>
      </c>
      <c r="E7276" s="15">
        <v>4.5999999999999996</v>
      </c>
      <c r="F7276" s="16" t="s">
        <v>4214</v>
      </c>
      <c r="G7276" s="14"/>
    </row>
    <row r="7277" spans="2:7" ht="11.25" outlineLevel="3" x14ac:dyDescent="0.2">
      <c r="B7277" s="14" t="s">
        <v>13724</v>
      </c>
      <c r="C7277" s="14" t="s">
        <v>13725</v>
      </c>
      <c r="D7277" s="14">
        <v>1</v>
      </c>
      <c r="E7277" s="15">
        <v>8.85</v>
      </c>
      <c r="F7277" s="16" t="s">
        <v>4214</v>
      </c>
      <c r="G7277" s="14"/>
    </row>
    <row r="7278" spans="2:7" ht="11.25" outlineLevel="3" x14ac:dyDescent="0.2">
      <c r="B7278" s="14" t="s">
        <v>13726</v>
      </c>
      <c r="C7278" s="14" t="s">
        <v>13727</v>
      </c>
      <c r="D7278" s="14">
        <v>10</v>
      </c>
      <c r="E7278" s="15">
        <v>8.85</v>
      </c>
      <c r="F7278" s="16" t="s">
        <v>4214</v>
      </c>
      <c r="G7278" s="14"/>
    </row>
    <row r="7279" spans="2:7" ht="11.25" outlineLevel="3" x14ac:dyDescent="0.2">
      <c r="B7279" s="14" t="s">
        <v>13728</v>
      </c>
      <c r="C7279" s="14" t="s">
        <v>13729</v>
      </c>
      <c r="D7279" s="14">
        <v>1</v>
      </c>
      <c r="E7279" s="15">
        <v>8.85</v>
      </c>
      <c r="F7279" s="16" t="s">
        <v>4214</v>
      </c>
      <c r="G7279" s="14"/>
    </row>
    <row r="7280" spans="2:7" ht="12" outlineLevel="2" x14ac:dyDescent="0.2">
      <c r="B7280" s="8"/>
      <c r="C7280" s="35" t="s">
        <v>13730</v>
      </c>
      <c r="D7280" s="8"/>
      <c r="E7280" s="9"/>
      <c r="F7280" s="9"/>
      <c r="G7280" s="8"/>
    </row>
    <row r="7281" spans="2:7" ht="12" outlineLevel="2" x14ac:dyDescent="0.2">
      <c r="B7281" s="8"/>
      <c r="C7281" s="35" t="s">
        <v>13731</v>
      </c>
      <c r="D7281" s="8"/>
      <c r="E7281" s="9"/>
      <c r="F7281" s="9"/>
      <c r="G7281" s="8"/>
    </row>
    <row r="7282" spans="2:7" ht="11.25" outlineLevel="3" x14ac:dyDescent="0.2">
      <c r="B7282" s="14" t="s">
        <v>13732</v>
      </c>
      <c r="C7282" s="14" t="s">
        <v>13733</v>
      </c>
      <c r="D7282" s="14">
        <v>1</v>
      </c>
      <c r="E7282" s="15">
        <v>103.64</v>
      </c>
      <c r="F7282" s="16" t="s">
        <v>4214</v>
      </c>
      <c r="G7282" s="14"/>
    </row>
    <row r="7283" spans="2:7" ht="11.25" outlineLevel="3" x14ac:dyDescent="0.2">
      <c r="B7283" s="14" t="s">
        <v>13734</v>
      </c>
      <c r="C7283" s="14" t="s">
        <v>13735</v>
      </c>
      <c r="D7283" s="14">
        <v>1</v>
      </c>
      <c r="E7283" s="15">
        <v>292.73</v>
      </c>
      <c r="F7283" s="16" t="s">
        <v>13736</v>
      </c>
      <c r="G7283" s="14"/>
    </row>
    <row r="7284" spans="2:7" ht="11.25" outlineLevel="3" x14ac:dyDescent="0.2">
      <c r="B7284" s="14" t="s">
        <v>13737</v>
      </c>
      <c r="C7284" s="14" t="s">
        <v>13738</v>
      </c>
      <c r="D7284" s="14">
        <v>1</v>
      </c>
      <c r="E7284" s="15">
        <v>21.82</v>
      </c>
      <c r="F7284" s="16" t="s">
        <v>8</v>
      </c>
      <c r="G7284" s="14"/>
    </row>
    <row r="7285" spans="2:7" ht="12" outlineLevel="1" x14ac:dyDescent="0.2">
      <c r="B7285" s="6"/>
      <c r="C7285" s="34" t="s">
        <v>13739</v>
      </c>
      <c r="D7285" s="6"/>
      <c r="E7285" s="7"/>
      <c r="F7285" s="7"/>
      <c r="G7285" s="6"/>
    </row>
    <row r="7286" spans="2:7" ht="12" outlineLevel="2" x14ac:dyDescent="0.2">
      <c r="B7286" s="8"/>
      <c r="C7286" s="35" t="s">
        <v>13740</v>
      </c>
      <c r="D7286" s="8"/>
      <c r="E7286" s="9"/>
      <c r="F7286" s="9"/>
      <c r="G7286" s="8"/>
    </row>
    <row r="7287" spans="2:7" ht="11.25" outlineLevel="3" x14ac:dyDescent="0.2">
      <c r="B7287" s="14" t="s">
        <v>13741</v>
      </c>
      <c r="C7287" s="14" t="s">
        <v>13742</v>
      </c>
      <c r="D7287" s="14">
        <v>1</v>
      </c>
      <c r="E7287" s="17">
        <v>5746</v>
      </c>
      <c r="F7287" s="16" t="s">
        <v>8</v>
      </c>
      <c r="G7287" s="38" t="str">
        <f>HYPERLINK("http://enext.ua/i0800001")</f>
        <v>http://enext.ua/i0800001</v>
      </c>
    </row>
    <row r="7288" spans="2:7" ht="11.25" outlineLevel="3" x14ac:dyDescent="0.2">
      <c r="B7288" s="14" t="s">
        <v>13743</v>
      </c>
      <c r="C7288" s="14" t="s">
        <v>13744</v>
      </c>
      <c r="D7288" s="14">
        <v>1</v>
      </c>
      <c r="E7288" s="17">
        <v>7056</v>
      </c>
      <c r="F7288" s="16" t="s">
        <v>8</v>
      </c>
      <c r="G7288" s="38" t="str">
        <f>HYPERLINK("http://enext.ua/i0800002")</f>
        <v>http://enext.ua/i0800002</v>
      </c>
    </row>
    <row r="7289" spans="2:7" ht="11.25" outlineLevel="3" x14ac:dyDescent="0.2">
      <c r="B7289" s="14" t="s">
        <v>13745</v>
      </c>
      <c r="C7289" s="14" t="s">
        <v>13746</v>
      </c>
      <c r="D7289" s="14">
        <v>1</v>
      </c>
      <c r="E7289" s="17">
        <v>8640</v>
      </c>
      <c r="F7289" s="16" t="s">
        <v>8</v>
      </c>
      <c r="G7289" s="38" t="str">
        <f>HYPERLINK("http://enext.ua/i0800028")</f>
        <v>http://enext.ua/i0800028</v>
      </c>
    </row>
    <row r="7290" spans="2:7" ht="11.25" outlineLevel="3" x14ac:dyDescent="0.2">
      <c r="B7290" s="14" t="s">
        <v>13747</v>
      </c>
      <c r="C7290" s="14" t="s">
        <v>13748</v>
      </c>
      <c r="D7290" s="14">
        <v>1</v>
      </c>
      <c r="E7290" s="17">
        <v>9280</v>
      </c>
      <c r="F7290" s="16" t="s">
        <v>8</v>
      </c>
      <c r="G7290" s="38" t="str">
        <f>HYPERLINK("http://enext.ua/i0800003")</f>
        <v>http://enext.ua/i0800003</v>
      </c>
    </row>
    <row r="7291" spans="2:7" ht="11.25" outlineLevel="3" x14ac:dyDescent="0.2">
      <c r="B7291" s="14" t="s">
        <v>13749</v>
      </c>
      <c r="C7291" s="14" t="s">
        <v>13750</v>
      </c>
      <c r="D7291" s="14">
        <v>1</v>
      </c>
      <c r="E7291" s="17">
        <v>10630</v>
      </c>
      <c r="F7291" s="16" t="s">
        <v>8</v>
      </c>
      <c r="G7291" s="38" t="str">
        <f>HYPERLINK("http://enext.ua/i0800004")</f>
        <v>http://enext.ua/i0800004</v>
      </c>
    </row>
    <row r="7292" spans="2:7" ht="11.25" outlineLevel="3" x14ac:dyDescent="0.2">
      <c r="B7292" s="14" t="s">
        <v>13751</v>
      </c>
      <c r="C7292" s="14" t="s">
        <v>13752</v>
      </c>
      <c r="D7292" s="14">
        <v>1</v>
      </c>
      <c r="E7292" s="17">
        <v>12350</v>
      </c>
      <c r="F7292" s="16" t="s">
        <v>8</v>
      </c>
      <c r="G7292" s="38" t="str">
        <f>HYPERLINK("http://enext.ua/i0800005")</f>
        <v>http://enext.ua/i0800005</v>
      </c>
    </row>
    <row r="7293" spans="2:7" ht="11.25" outlineLevel="3" x14ac:dyDescent="0.2">
      <c r="B7293" s="14" t="s">
        <v>13753</v>
      </c>
      <c r="C7293" s="14" t="s">
        <v>13754</v>
      </c>
      <c r="D7293" s="14">
        <v>1</v>
      </c>
      <c r="E7293" s="17">
        <v>15320</v>
      </c>
      <c r="F7293" s="16" t="s">
        <v>8</v>
      </c>
      <c r="G7293" s="38" t="str">
        <f>HYPERLINK("http://enext.ua/i0800006")</f>
        <v>http://enext.ua/i0800006</v>
      </c>
    </row>
    <row r="7294" spans="2:7" ht="11.25" outlineLevel="3" x14ac:dyDescent="0.2">
      <c r="B7294" s="14" t="s">
        <v>13755</v>
      </c>
      <c r="C7294" s="14" t="s">
        <v>13756</v>
      </c>
      <c r="D7294" s="14">
        <v>1</v>
      </c>
      <c r="E7294" s="17">
        <v>17390</v>
      </c>
      <c r="F7294" s="16" t="s">
        <v>8</v>
      </c>
      <c r="G7294" s="38" t="str">
        <f>HYPERLINK("http://enext.ua/i0800007")</f>
        <v>http://enext.ua/i0800007</v>
      </c>
    </row>
    <row r="7295" spans="2:7" ht="11.25" outlineLevel="3" x14ac:dyDescent="0.2">
      <c r="B7295" s="14" t="s">
        <v>13757</v>
      </c>
      <c r="C7295" s="14" t="s">
        <v>13758</v>
      </c>
      <c r="D7295" s="14">
        <v>1</v>
      </c>
      <c r="E7295" s="17">
        <v>23220</v>
      </c>
      <c r="F7295" s="16" t="s">
        <v>8</v>
      </c>
      <c r="G7295" s="38" t="str">
        <f>HYPERLINK("http://enext.ua/i0800009")</f>
        <v>http://enext.ua/i0800009</v>
      </c>
    </row>
    <row r="7296" spans="2:7" ht="11.25" outlineLevel="3" x14ac:dyDescent="0.2">
      <c r="B7296" s="14" t="s">
        <v>13759</v>
      </c>
      <c r="C7296" s="14" t="s">
        <v>13760</v>
      </c>
      <c r="D7296" s="14">
        <v>1</v>
      </c>
      <c r="E7296" s="17">
        <v>29240</v>
      </c>
      <c r="F7296" s="16" t="s">
        <v>8</v>
      </c>
      <c r="G7296" s="38" t="str">
        <f>HYPERLINK("http://enext.ua/i0800010")</f>
        <v>http://enext.ua/i0800010</v>
      </c>
    </row>
    <row r="7297" spans="2:7" ht="11.25" outlineLevel="3" x14ac:dyDescent="0.2">
      <c r="B7297" s="14" t="s">
        <v>13761</v>
      </c>
      <c r="C7297" s="14" t="s">
        <v>13762</v>
      </c>
      <c r="D7297" s="14">
        <v>1</v>
      </c>
      <c r="E7297" s="17">
        <v>38510</v>
      </c>
      <c r="F7297" s="16" t="s">
        <v>8</v>
      </c>
      <c r="G7297" s="38" t="str">
        <f>HYPERLINK("http://enext.ua/i0800011")</f>
        <v>http://enext.ua/i0800011</v>
      </c>
    </row>
    <row r="7298" spans="2:7" ht="11.25" outlineLevel="3" x14ac:dyDescent="0.2">
      <c r="B7298" s="14" t="s">
        <v>13763</v>
      </c>
      <c r="C7298" s="14" t="s">
        <v>13764</v>
      </c>
      <c r="D7298" s="14">
        <v>1</v>
      </c>
      <c r="E7298" s="17">
        <v>45620</v>
      </c>
      <c r="F7298" s="16" t="s">
        <v>8</v>
      </c>
      <c r="G7298" s="38" t="str">
        <f>HYPERLINK("http://enext.ua/i0800012")</f>
        <v>http://enext.ua/i0800012</v>
      </c>
    </row>
    <row r="7299" spans="2:7" ht="11.25" outlineLevel="3" x14ac:dyDescent="0.2">
      <c r="B7299" s="14" t="s">
        <v>13765</v>
      </c>
      <c r="C7299" s="14" t="s">
        <v>13766</v>
      </c>
      <c r="D7299" s="14">
        <v>1</v>
      </c>
      <c r="E7299" s="17">
        <v>54440</v>
      </c>
      <c r="F7299" s="16" t="s">
        <v>8</v>
      </c>
      <c r="G7299" s="38" t="str">
        <f>HYPERLINK("http://enext.ua/i0800013")</f>
        <v>http://enext.ua/i0800013</v>
      </c>
    </row>
    <row r="7300" spans="2:7" ht="11.25" outlineLevel="3" x14ac:dyDescent="0.2">
      <c r="B7300" s="14" t="s">
        <v>13767</v>
      </c>
      <c r="C7300" s="14" t="s">
        <v>13768</v>
      </c>
      <c r="D7300" s="14">
        <v>1</v>
      </c>
      <c r="E7300" s="17">
        <v>66528.759999999995</v>
      </c>
      <c r="F7300" s="16" t="s">
        <v>8</v>
      </c>
      <c r="G7300" s="38" t="str">
        <f>HYPERLINK("http://enext.ua/i0800014")</f>
        <v>http://enext.ua/i0800014</v>
      </c>
    </row>
    <row r="7301" spans="2:7" ht="11.25" outlineLevel="3" x14ac:dyDescent="0.2">
      <c r="B7301" s="14" t="s">
        <v>13769</v>
      </c>
      <c r="C7301" s="14" t="s">
        <v>13770</v>
      </c>
      <c r="D7301" s="14">
        <v>1</v>
      </c>
      <c r="E7301" s="17">
        <v>87550</v>
      </c>
      <c r="F7301" s="16" t="s">
        <v>8</v>
      </c>
      <c r="G7301" s="38" t="str">
        <f>HYPERLINK("http://enext.ua/i0800015")</f>
        <v>http://enext.ua/i0800015</v>
      </c>
    </row>
    <row r="7302" spans="2:7" ht="11.25" outlineLevel="3" x14ac:dyDescent="0.2">
      <c r="B7302" s="14" t="s">
        <v>13771</v>
      </c>
      <c r="C7302" s="14" t="s">
        <v>13772</v>
      </c>
      <c r="D7302" s="14">
        <v>1</v>
      </c>
      <c r="E7302" s="17">
        <v>106270</v>
      </c>
      <c r="F7302" s="16" t="s">
        <v>8</v>
      </c>
      <c r="G7302" s="38" t="str">
        <f>HYPERLINK("http://enext.ua/i0800016")</f>
        <v>http://enext.ua/i0800016</v>
      </c>
    </row>
    <row r="7303" spans="2:7" ht="11.25" outlineLevel="3" x14ac:dyDescent="0.2">
      <c r="B7303" s="14" t="s">
        <v>13773</v>
      </c>
      <c r="C7303" s="14" t="s">
        <v>13774</v>
      </c>
      <c r="D7303" s="14">
        <v>1</v>
      </c>
      <c r="E7303" s="17">
        <v>133530</v>
      </c>
      <c r="F7303" s="16" t="s">
        <v>8</v>
      </c>
      <c r="G7303" s="38" t="str">
        <f>HYPERLINK("http://enext.ua/i0800017")</f>
        <v>http://enext.ua/i0800017</v>
      </c>
    </row>
    <row r="7304" spans="2:7" ht="11.25" outlineLevel="3" x14ac:dyDescent="0.2">
      <c r="B7304" s="14" t="s">
        <v>13775</v>
      </c>
      <c r="C7304" s="14" t="s">
        <v>13776</v>
      </c>
      <c r="D7304" s="14">
        <v>1</v>
      </c>
      <c r="E7304" s="17">
        <v>159000</v>
      </c>
      <c r="F7304" s="16" t="s">
        <v>8</v>
      </c>
      <c r="G7304" s="38" t="str">
        <f>HYPERLINK("http://enext.ua/i0800018")</f>
        <v>http://enext.ua/i0800018</v>
      </c>
    </row>
    <row r="7305" spans="2:7" ht="11.25" outlineLevel="3" x14ac:dyDescent="0.2">
      <c r="B7305" s="14" t="s">
        <v>13777</v>
      </c>
      <c r="C7305" s="14" t="s">
        <v>13778</v>
      </c>
      <c r="D7305" s="14">
        <v>1</v>
      </c>
      <c r="E7305" s="17">
        <v>187540.25</v>
      </c>
      <c r="F7305" s="16" t="s">
        <v>8</v>
      </c>
      <c r="G7305" s="38" t="str">
        <f>HYPERLINK("http://enext.ua/i0800019")</f>
        <v>http://enext.ua/i0800019</v>
      </c>
    </row>
    <row r="7306" spans="2:7" ht="11.25" outlineLevel="3" x14ac:dyDescent="0.2">
      <c r="B7306" s="14" t="s">
        <v>13779</v>
      </c>
      <c r="C7306" s="14" t="s">
        <v>13780</v>
      </c>
      <c r="D7306" s="14">
        <v>1</v>
      </c>
      <c r="E7306" s="17">
        <v>5746</v>
      </c>
      <c r="F7306" s="16" t="s">
        <v>8</v>
      </c>
      <c r="G7306" s="14"/>
    </row>
    <row r="7307" spans="2:7" ht="11.25" outlineLevel="3" x14ac:dyDescent="0.2">
      <c r="B7307" s="14" t="s">
        <v>13781</v>
      </c>
      <c r="C7307" s="14" t="s">
        <v>13782</v>
      </c>
      <c r="D7307" s="14">
        <v>1</v>
      </c>
      <c r="E7307" s="17">
        <v>7056</v>
      </c>
      <c r="F7307" s="16" t="s">
        <v>8</v>
      </c>
      <c r="G7307" s="14"/>
    </row>
    <row r="7308" spans="2:7" ht="11.25" outlineLevel="3" x14ac:dyDescent="0.2">
      <c r="B7308" s="14" t="s">
        <v>13783</v>
      </c>
      <c r="C7308" s="14" t="s">
        <v>13784</v>
      </c>
      <c r="D7308" s="14">
        <v>1</v>
      </c>
      <c r="E7308" s="17">
        <v>8640</v>
      </c>
      <c r="F7308" s="16" t="s">
        <v>8</v>
      </c>
      <c r="G7308" s="14"/>
    </row>
    <row r="7309" spans="2:7" ht="11.25" outlineLevel="3" x14ac:dyDescent="0.2">
      <c r="B7309" s="14" t="s">
        <v>13785</v>
      </c>
      <c r="C7309" s="14" t="s">
        <v>13786</v>
      </c>
      <c r="D7309" s="14">
        <v>1</v>
      </c>
      <c r="E7309" s="17">
        <v>9280</v>
      </c>
      <c r="F7309" s="16" t="s">
        <v>8</v>
      </c>
      <c r="G7309" s="14"/>
    </row>
    <row r="7310" spans="2:7" ht="11.25" outlineLevel="3" x14ac:dyDescent="0.2">
      <c r="B7310" s="14" t="s">
        <v>13787</v>
      </c>
      <c r="C7310" s="14" t="s">
        <v>13788</v>
      </c>
      <c r="D7310" s="14">
        <v>1</v>
      </c>
      <c r="E7310" s="17">
        <v>10630</v>
      </c>
      <c r="F7310" s="16" t="s">
        <v>8</v>
      </c>
      <c r="G7310" s="14"/>
    </row>
    <row r="7311" spans="2:7" ht="11.25" outlineLevel="3" x14ac:dyDescent="0.2">
      <c r="B7311" s="14" t="s">
        <v>13789</v>
      </c>
      <c r="C7311" s="14" t="s">
        <v>13790</v>
      </c>
      <c r="D7311" s="14">
        <v>1</v>
      </c>
      <c r="E7311" s="17">
        <v>12350</v>
      </c>
      <c r="F7311" s="16" t="s">
        <v>8</v>
      </c>
      <c r="G7311" s="14"/>
    </row>
    <row r="7312" spans="2:7" ht="11.25" outlineLevel="3" x14ac:dyDescent="0.2">
      <c r="B7312" s="14" t="s">
        <v>13791</v>
      </c>
      <c r="C7312" s="14" t="s">
        <v>13792</v>
      </c>
      <c r="D7312" s="14">
        <v>1</v>
      </c>
      <c r="E7312" s="17">
        <v>15320</v>
      </c>
      <c r="F7312" s="16" t="s">
        <v>8</v>
      </c>
      <c r="G7312" s="14"/>
    </row>
    <row r="7313" spans="2:7" ht="11.25" outlineLevel="3" x14ac:dyDescent="0.2">
      <c r="B7313" s="14" t="s">
        <v>13793</v>
      </c>
      <c r="C7313" s="14" t="s">
        <v>13794</v>
      </c>
      <c r="D7313" s="14">
        <v>1</v>
      </c>
      <c r="E7313" s="17">
        <v>17390</v>
      </c>
      <c r="F7313" s="16" t="s">
        <v>8</v>
      </c>
      <c r="G7313" s="14"/>
    </row>
    <row r="7314" spans="2:7" ht="11.25" outlineLevel="3" x14ac:dyDescent="0.2">
      <c r="B7314" s="14" t="s">
        <v>13795</v>
      </c>
      <c r="C7314" s="14" t="s">
        <v>13796</v>
      </c>
      <c r="D7314" s="14">
        <v>1</v>
      </c>
      <c r="E7314" s="17">
        <v>54440</v>
      </c>
      <c r="F7314" s="16" t="s">
        <v>8</v>
      </c>
      <c r="G7314" s="14"/>
    </row>
    <row r="7315" spans="2:7" ht="11.25" outlineLevel="3" x14ac:dyDescent="0.2">
      <c r="B7315" s="14" t="s">
        <v>13797</v>
      </c>
      <c r="C7315" s="14" t="s">
        <v>13798</v>
      </c>
      <c r="D7315" s="14">
        <v>1</v>
      </c>
      <c r="E7315" s="17">
        <v>133530</v>
      </c>
      <c r="F7315" s="16" t="s">
        <v>8</v>
      </c>
      <c r="G7315" s="14"/>
    </row>
    <row r="7316" spans="2:7" ht="11.25" outlineLevel="3" x14ac:dyDescent="0.2">
      <c r="B7316" s="14" t="s">
        <v>13799</v>
      </c>
      <c r="C7316" s="14" t="s">
        <v>13800</v>
      </c>
      <c r="D7316" s="14">
        <v>1</v>
      </c>
      <c r="E7316" s="17">
        <v>159000</v>
      </c>
      <c r="F7316" s="16" t="s">
        <v>8</v>
      </c>
      <c r="G7316" s="14"/>
    </row>
    <row r="7317" spans="2:7" ht="11.25" outlineLevel="3" x14ac:dyDescent="0.2">
      <c r="B7317" s="14" t="s">
        <v>13801</v>
      </c>
      <c r="C7317" s="14" t="s">
        <v>13802</v>
      </c>
      <c r="D7317" s="14">
        <v>1</v>
      </c>
      <c r="E7317" s="17">
        <v>20896</v>
      </c>
      <c r="F7317" s="16" t="s">
        <v>8</v>
      </c>
      <c r="G7317" s="14"/>
    </row>
    <row r="7318" spans="2:7" ht="11.25" outlineLevel="3" x14ac:dyDescent="0.2">
      <c r="B7318" s="14" t="s">
        <v>13803</v>
      </c>
      <c r="C7318" s="14" t="s">
        <v>13804</v>
      </c>
      <c r="D7318" s="14">
        <v>1</v>
      </c>
      <c r="E7318" s="17">
        <v>28310</v>
      </c>
      <c r="F7318" s="16" t="s">
        <v>8</v>
      </c>
      <c r="G7318" s="14"/>
    </row>
    <row r="7319" spans="2:7" ht="12" outlineLevel="2" x14ac:dyDescent="0.2">
      <c r="B7319" s="8"/>
      <c r="C7319" s="35" t="s">
        <v>13805</v>
      </c>
      <c r="D7319" s="8"/>
      <c r="E7319" s="9"/>
      <c r="F7319" s="9"/>
      <c r="G7319" s="8"/>
    </row>
    <row r="7320" spans="2:7" ht="11.25" outlineLevel="3" x14ac:dyDescent="0.2">
      <c r="B7320" s="14" t="s">
        <v>13806</v>
      </c>
      <c r="C7320" s="14" t="s">
        <v>13807</v>
      </c>
      <c r="D7320" s="14">
        <v>1</v>
      </c>
      <c r="E7320" s="17">
        <v>75107.570000000007</v>
      </c>
      <c r="F7320" s="16" t="s">
        <v>8</v>
      </c>
      <c r="G7320" s="14"/>
    </row>
    <row r="7321" spans="2:7" ht="12" outlineLevel="1" x14ac:dyDescent="0.2">
      <c r="B7321" s="6"/>
      <c r="C7321" s="34" t="s">
        <v>13808</v>
      </c>
      <c r="D7321" s="6"/>
      <c r="E7321" s="7"/>
      <c r="F7321" s="7"/>
      <c r="G7321" s="6"/>
    </row>
    <row r="7322" spans="2:7" ht="12" outlineLevel="2" x14ac:dyDescent="0.2">
      <c r="B7322" s="8"/>
      <c r="C7322" s="35" t="s">
        <v>13809</v>
      </c>
      <c r="D7322" s="8"/>
      <c r="E7322" s="9"/>
      <c r="F7322" s="9"/>
      <c r="G7322" s="8"/>
    </row>
    <row r="7323" spans="2:7" ht="12" outlineLevel="3" x14ac:dyDescent="0.2">
      <c r="B7323" s="10"/>
      <c r="C7323" s="36" t="s">
        <v>13810</v>
      </c>
      <c r="D7323" s="10"/>
      <c r="E7323" s="11"/>
      <c r="F7323" s="11"/>
      <c r="G7323" s="10"/>
    </row>
    <row r="7324" spans="2:7" ht="12" outlineLevel="4" x14ac:dyDescent="0.2">
      <c r="B7324" s="12"/>
      <c r="C7324" s="37" t="s">
        <v>13811</v>
      </c>
      <c r="D7324" s="12"/>
      <c r="E7324" s="13"/>
      <c r="F7324" s="13"/>
      <c r="G7324" s="12"/>
    </row>
    <row r="7325" spans="2:7" ht="11.25" outlineLevel="5" x14ac:dyDescent="0.2">
      <c r="B7325" s="14" t="s">
        <v>13812</v>
      </c>
      <c r="C7325" s="14" t="s">
        <v>13813</v>
      </c>
      <c r="D7325" s="14">
        <v>12</v>
      </c>
      <c r="E7325" s="15">
        <v>468.39</v>
      </c>
      <c r="F7325" s="16" t="s">
        <v>8</v>
      </c>
      <c r="G7325" s="38" t="str">
        <f>HYPERLINK("http://enext.ua/i0330001")</f>
        <v>http://enext.ua/i0330001</v>
      </c>
    </row>
    <row r="7326" spans="2:7" ht="11.25" outlineLevel="5" x14ac:dyDescent="0.2">
      <c r="B7326" s="14" t="s">
        <v>13814</v>
      </c>
      <c r="C7326" s="14" t="s">
        <v>13815</v>
      </c>
      <c r="D7326" s="14">
        <v>1</v>
      </c>
      <c r="E7326" s="15">
        <v>515.30999999999995</v>
      </c>
      <c r="F7326" s="16" t="s">
        <v>8</v>
      </c>
      <c r="G7326" s="38" t="str">
        <f>HYPERLINK("http://enext.ua/i0330002")</f>
        <v>http://enext.ua/i0330002</v>
      </c>
    </row>
    <row r="7327" spans="2:7" ht="11.25" outlineLevel="5" x14ac:dyDescent="0.2">
      <c r="B7327" s="14" t="s">
        <v>13816</v>
      </c>
      <c r="C7327" s="14" t="s">
        <v>13817</v>
      </c>
      <c r="D7327" s="14">
        <v>12</v>
      </c>
      <c r="E7327" s="17">
        <v>2205.4499999999998</v>
      </c>
      <c r="F7327" s="16" t="s">
        <v>8</v>
      </c>
      <c r="G7327" s="38" t="str">
        <f>HYPERLINK("http://enext.ua/i0330003")</f>
        <v>http://enext.ua/i0330003</v>
      </c>
    </row>
    <row r="7328" spans="2:7" ht="12" outlineLevel="4" x14ac:dyDescent="0.2">
      <c r="B7328" s="12"/>
      <c r="C7328" s="37" t="s">
        <v>13818</v>
      </c>
      <c r="D7328" s="12"/>
      <c r="E7328" s="13"/>
      <c r="F7328" s="13"/>
      <c r="G7328" s="12"/>
    </row>
    <row r="7329" spans="2:7" ht="11.25" outlineLevel="5" x14ac:dyDescent="0.2">
      <c r="B7329" s="14" t="s">
        <v>13819</v>
      </c>
      <c r="C7329" s="14" t="s">
        <v>13820</v>
      </c>
      <c r="D7329" s="14">
        <v>12</v>
      </c>
      <c r="E7329" s="15">
        <v>299.33999999999997</v>
      </c>
      <c r="F7329" s="16" t="s">
        <v>8</v>
      </c>
      <c r="G7329" s="38" t="str">
        <f>HYPERLINK("http://enext.ua/i0340001")</f>
        <v>http://enext.ua/i0340001</v>
      </c>
    </row>
    <row r="7330" spans="2:7" ht="11.25" outlineLevel="5" x14ac:dyDescent="0.2">
      <c r="B7330" s="14" t="s">
        <v>13821</v>
      </c>
      <c r="C7330" s="14" t="s">
        <v>13822</v>
      </c>
      <c r="D7330" s="14">
        <v>12</v>
      </c>
      <c r="E7330" s="15">
        <v>299.33999999999997</v>
      </c>
      <c r="F7330" s="16" t="s">
        <v>8</v>
      </c>
      <c r="G7330" s="38" t="str">
        <f>HYPERLINK("http://enext.ua/i0340005")</f>
        <v>http://enext.ua/i0340005</v>
      </c>
    </row>
    <row r="7331" spans="2:7" ht="11.25" outlineLevel="5" x14ac:dyDescent="0.2">
      <c r="B7331" s="14" t="s">
        <v>13823</v>
      </c>
      <c r="C7331" s="14" t="s">
        <v>13824</v>
      </c>
      <c r="D7331" s="14">
        <v>6</v>
      </c>
      <c r="E7331" s="15">
        <v>623.91999999999996</v>
      </c>
      <c r="F7331" s="16" t="s">
        <v>8</v>
      </c>
      <c r="G7331" s="38" t="str">
        <f>HYPERLINK("http://enext.ua/i0340002")</f>
        <v>http://enext.ua/i0340002</v>
      </c>
    </row>
    <row r="7332" spans="2:7" ht="11.25" outlineLevel="5" x14ac:dyDescent="0.2">
      <c r="B7332" s="14" t="s">
        <v>13825</v>
      </c>
      <c r="C7332" s="14" t="s">
        <v>13826</v>
      </c>
      <c r="D7332" s="14">
        <v>6</v>
      </c>
      <c r="E7332" s="15">
        <v>623.91999999999996</v>
      </c>
      <c r="F7332" s="16" t="s">
        <v>8</v>
      </c>
      <c r="G7332" s="38" t="str">
        <f>HYPERLINK("http://enext.ua/i0340006")</f>
        <v>http://enext.ua/i0340006</v>
      </c>
    </row>
    <row r="7333" spans="2:7" ht="11.25" outlineLevel="5" x14ac:dyDescent="0.2">
      <c r="B7333" s="14" t="s">
        <v>13827</v>
      </c>
      <c r="C7333" s="14" t="s">
        <v>13828</v>
      </c>
      <c r="D7333" s="14">
        <v>4</v>
      </c>
      <c r="E7333" s="15">
        <v>954.64</v>
      </c>
      <c r="F7333" s="16" t="s">
        <v>8</v>
      </c>
      <c r="G7333" s="38" t="str">
        <f>HYPERLINK("http://enext.ua/i0340003")</f>
        <v>http://enext.ua/i0340003</v>
      </c>
    </row>
    <row r="7334" spans="2:7" ht="11.25" outlineLevel="5" x14ac:dyDescent="0.2">
      <c r="B7334" s="14" t="s">
        <v>13829</v>
      </c>
      <c r="C7334" s="14" t="s">
        <v>13830</v>
      </c>
      <c r="D7334" s="14">
        <v>4</v>
      </c>
      <c r="E7334" s="15">
        <v>954.64</v>
      </c>
      <c r="F7334" s="16" t="s">
        <v>8</v>
      </c>
      <c r="G7334" s="38" t="str">
        <f>HYPERLINK("http://enext.ua/i0340007")</f>
        <v>http://enext.ua/i0340007</v>
      </c>
    </row>
    <row r="7335" spans="2:7" ht="11.25" outlineLevel="5" x14ac:dyDescent="0.2">
      <c r="B7335" s="14" t="s">
        <v>13831</v>
      </c>
      <c r="C7335" s="14" t="s">
        <v>13832</v>
      </c>
      <c r="D7335" s="14">
        <v>1</v>
      </c>
      <c r="E7335" s="17">
        <v>1243.73</v>
      </c>
      <c r="F7335" s="16" t="s">
        <v>8</v>
      </c>
      <c r="G7335" s="38" t="str">
        <f>HYPERLINK("http://enext.ua/i0340004")</f>
        <v>http://enext.ua/i0340004</v>
      </c>
    </row>
    <row r="7336" spans="2:7" ht="11.25" outlineLevel="5" x14ac:dyDescent="0.2">
      <c r="B7336" s="14" t="s">
        <v>13833</v>
      </c>
      <c r="C7336" s="14" t="s">
        <v>13834</v>
      </c>
      <c r="D7336" s="14">
        <v>1</v>
      </c>
      <c r="E7336" s="17">
        <v>1243.73</v>
      </c>
      <c r="F7336" s="16" t="s">
        <v>8</v>
      </c>
      <c r="G7336" s="38" t="str">
        <f>HYPERLINK("http://enext.ua/i0340008")</f>
        <v>http://enext.ua/i0340008</v>
      </c>
    </row>
    <row r="7337" spans="2:7" ht="11.25" outlineLevel="5" x14ac:dyDescent="0.2">
      <c r="B7337" s="14" t="s">
        <v>13835</v>
      </c>
      <c r="C7337" s="14" t="s">
        <v>13836</v>
      </c>
      <c r="D7337" s="14">
        <v>1</v>
      </c>
      <c r="E7337" s="17">
        <v>1243.73</v>
      </c>
      <c r="F7337" s="16" t="s">
        <v>8</v>
      </c>
      <c r="G7337" s="38" t="str">
        <f>HYPERLINK("http://enext.ua/i0340009")</f>
        <v>http://enext.ua/i0340009</v>
      </c>
    </row>
    <row r="7338" spans="2:7" ht="12" outlineLevel="4" x14ac:dyDescent="0.2">
      <c r="B7338" s="12"/>
      <c r="C7338" s="37" t="s">
        <v>13837</v>
      </c>
      <c r="D7338" s="12"/>
      <c r="E7338" s="13"/>
      <c r="F7338" s="13"/>
      <c r="G7338" s="12"/>
    </row>
    <row r="7339" spans="2:7" ht="11.25" outlineLevel="5" x14ac:dyDescent="0.2">
      <c r="B7339" s="14" t="s">
        <v>13838</v>
      </c>
      <c r="C7339" s="14" t="s">
        <v>13839</v>
      </c>
      <c r="D7339" s="14">
        <v>6</v>
      </c>
      <c r="E7339" s="17">
        <v>1098.97</v>
      </c>
      <c r="F7339" s="16" t="s">
        <v>8</v>
      </c>
      <c r="G7339" s="38" t="str">
        <f>HYPERLINK("http://enext.ua/i0340010")</f>
        <v>http://enext.ua/i0340010</v>
      </c>
    </row>
    <row r="7340" spans="2:7" ht="11.25" outlineLevel="5" x14ac:dyDescent="0.2">
      <c r="B7340" s="14" t="s">
        <v>13840</v>
      </c>
      <c r="C7340" s="14" t="s">
        <v>13841</v>
      </c>
      <c r="D7340" s="14">
        <v>12</v>
      </c>
      <c r="E7340" s="15">
        <v>387.88</v>
      </c>
      <c r="F7340" s="16" t="s">
        <v>8</v>
      </c>
      <c r="G7340" s="38" t="str">
        <f>HYPERLINK("http://enext.ua/i0340012")</f>
        <v>http://enext.ua/i0340012</v>
      </c>
    </row>
    <row r="7341" spans="2:7" ht="11.25" outlineLevel="5" x14ac:dyDescent="0.2">
      <c r="B7341" s="14" t="s">
        <v>13842</v>
      </c>
      <c r="C7341" s="14" t="s">
        <v>13843</v>
      </c>
      <c r="D7341" s="14">
        <v>12</v>
      </c>
      <c r="E7341" s="15">
        <v>698.94</v>
      </c>
      <c r="F7341" s="16" t="s">
        <v>8</v>
      </c>
      <c r="G7341" s="38" t="str">
        <f>HYPERLINK("http://enext.ua/i0340011")</f>
        <v>http://enext.ua/i0340011</v>
      </c>
    </row>
    <row r="7342" spans="2:7" ht="12" outlineLevel="3" x14ac:dyDescent="0.2">
      <c r="B7342" s="10"/>
      <c r="C7342" s="36" t="s">
        <v>13844</v>
      </c>
      <c r="D7342" s="10"/>
      <c r="E7342" s="11"/>
      <c r="F7342" s="11"/>
      <c r="G7342" s="10"/>
    </row>
    <row r="7343" spans="2:7" ht="11.25" outlineLevel="4" x14ac:dyDescent="0.2">
      <c r="B7343" s="14" t="s">
        <v>13845</v>
      </c>
      <c r="C7343" s="14" t="s">
        <v>13846</v>
      </c>
      <c r="D7343" s="14">
        <v>1</v>
      </c>
      <c r="E7343" s="15">
        <v>886.07</v>
      </c>
      <c r="F7343" s="16" t="s">
        <v>8</v>
      </c>
      <c r="G7343" s="38" t="str">
        <f>HYPERLINK("http://enext.ua/81.200/05")</f>
        <v>http://enext.ua/81.200/05</v>
      </c>
    </row>
    <row r="7344" spans="2:7" ht="11.25" outlineLevel="4" x14ac:dyDescent="0.2">
      <c r="B7344" s="14" t="s">
        <v>13847</v>
      </c>
      <c r="C7344" s="14" t="s">
        <v>13848</v>
      </c>
      <c r="D7344" s="14">
        <v>1</v>
      </c>
      <c r="E7344" s="17">
        <v>1829.1</v>
      </c>
      <c r="F7344" s="16" t="s">
        <v>8</v>
      </c>
      <c r="G7344" s="38" t="str">
        <f>HYPERLINK("http://enext.ua/81.204/05")</f>
        <v>http://enext.ua/81.204/05</v>
      </c>
    </row>
    <row r="7345" spans="2:7" ht="11.25" outlineLevel="4" x14ac:dyDescent="0.2">
      <c r="B7345" s="14" t="s">
        <v>13849</v>
      </c>
      <c r="C7345" s="14" t="s">
        <v>13850</v>
      </c>
      <c r="D7345" s="14">
        <v>1</v>
      </c>
      <c r="E7345" s="17">
        <v>2646.74</v>
      </c>
      <c r="F7345" s="16" t="s">
        <v>8</v>
      </c>
      <c r="G7345" s="38" t="str">
        <f>HYPERLINK("http://enext.ua/81.201/05")</f>
        <v>http://enext.ua/81.201/05</v>
      </c>
    </row>
    <row r="7346" spans="2:7" ht="11.25" outlineLevel="4" x14ac:dyDescent="0.2">
      <c r="B7346" s="14" t="s">
        <v>13851</v>
      </c>
      <c r="C7346" s="14" t="s">
        <v>13852</v>
      </c>
      <c r="D7346" s="14">
        <v>1</v>
      </c>
      <c r="E7346" s="17">
        <v>3503.96</v>
      </c>
      <c r="F7346" s="16" t="s">
        <v>8</v>
      </c>
      <c r="G7346" s="38" t="str">
        <f>HYPERLINK("http://enext.ua/81.206/05")</f>
        <v>http://enext.ua/81.206/05</v>
      </c>
    </row>
    <row r="7347" spans="2:7" ht="11.25" outlineLevel="4" x14ac:dyDescent="0.2">
      <c r="B7347" s="14" t="s">
        <v>13853</v>
      </c>
      <c r="C7347" s="14" t="s">
        <v>13854</v>
      </c>
      <c r="D7347" s="14">
        <v>1</v>
      </c>
      <c r="E7347" s="17">
        <v>3479.39</v>
      </c>
      <c r="F7347" s="16" t="s">
        <v>8</v>
      </c>
      <c r="G7347" s="38" t="str">
        <f>HYPERLINK("http://enext.ua/81.210/05")</f>
        <v>http://enext.ua/81.210/05</v>
      </c>
    </row>
    <row r="7348" spans="2:7" ht="11.25" outlineLevel="4" x14ac:dyDescent="0.2">
      <c r="B7348" s="14" t="s">
        <v>13855</v>
      </c>
      <c r="C7348" s="14" t="s">
        <v>13856</v>
      </c>
      <c r="D7348" s="14">
        <v>1</v>
      </c>
      <c r="E7348" s="17">
        <v>1027.8499999999999</v>
      </c>
      <c r="F7348" s="16" t="s">
        <v>8</v>
      </c>
      <c r="G7348" s="38" t="str">
        <f>HYPERLINK("http://enext.ua/81.001")</f>
        <v>http://enext.ua/81.001</v>
      </c>
    </row>
    <row r="7349" spans="2:7" ht="11.25" outlineLevel="4" x14ac:dyDescent="0.2">
      <c r="B7349" s="14" t="s">
        <v>13857</v>
      </c>
      <c r="C7349" s="14" t="s">
        <v>13858</v>
      </c>
      <c r="D7349" s="14">
        <v>1</v>
      </c>
      <c r="E7349" s="17">
        <v>2719.5</v>
      </c>
      <c r="F7349" s="16" t="s">
        <v>8</v>
      </c>
      <c r="G7349" s="38" t="str">
        <f>HYPERLINK("http://enext.ua/81.031")</f>
        <v>http://enext.ua/81.031</v>
      </c>
    </row>
    <row r="7350" spans="2:7" ht="11.25" outlineLevel="4" x14ac:dyDescent="0.2">
      <c r="B7350" s="14" t="s">
        <v>13859</v>
      </c>
      <c r="C7350" s="14" t="s">
        <v>13860</v>
      </c>
      <c r="D7350" s="14">
        <v>1</v>
      </c>
      <c r="E7350" s="17">
        <v>3407.29</v>
      </c>
      <c r="F7350" s="16" t="s">
        <v>8</v>
      </c>
      <c r="G7350" s="38" t="str">
        <f>HYPERLINK("http://enext.ua/81.003")</f>
        <v>http://enext.ua/81.003</v>
      </c>
    </row>
    <row r="7351" spans="2:7" ht="11.25" outlineLevel="4" x14ac:dyDescent="0.2">
      <c r="B7351" s="14" t="s">
        <v>13861</v>
      </c>
      <c r="C7351" s="14" t="s">
        <v>13862</v>
      </c>
      <c r="D7351" s="14">
        <v>1</v>
      </c>
      <c r="E7351" s="17">
        <v>4679.05</v>
      </c>
      <c r="F7351" s="16" t="s">
        <v>8</v>
      </c>
      <c r="G7351" s="38" t="str">
        <f>HYPERLINK("http://enext.ua/81.027")</f>
        <v>http://enext.ua/81.027</v>
      </c>
    </row>
    <row r="7352" spans="2:7" ht="11.25" outlineLevel="4" x14ac:dyDescent="0.2">
      <c r="B7352" s="14" t="s">
        <v>13863</v>
      </c>
      <c r="C7352" s="14" t="s">
        <v>13864</v>
      </c>
      <c r="D7352" s="14">
        <v>1</v>
      </c>
      <c r="E7352" s="17">
        <v>4491.97</v>
      </c>
      <c r="F7352" s="16" t="s">
        <v>8</v>
      </c>
      <c r="G7352" s="38" t="str">
        <f>HYPERLINK("http://enext.ua/81.004")</f>
        <v>http://enext.ua/81.004</v>
      </c>
    </row>
    <row r="7353" spans="2:7" ht="11.25" outlineLevel="4" x14ac:dyDescent="0.2">
      <c r="B7353" s="14" t="s">
        <v>13865</v>
      </c>
      <c r="C7353" s="14" t="s">
        <v>13866</v>
      </c>
      <c r="D7353" s="14">
        <v>1</v>
      </c>
      <c r="E7353" s="15">
        <v>645.12</v>
      </c>
      <c r="F7353" s="16" t="s">
        <v>8</v>
      </c>
      <c r="G7353" s="38" t="str">
        <f>HYPERLINK("http://enext.ua/82.001")</f>
        <v>http://enext.ua/82.001</v>
      </c>
    </row>
    <row r="7354" spans="2:7" ht="11.25" outlineLevel="4" x14ac:dyDescent="0.2">
      <c r="B7354" s="14" t="s">
        <v>13867</v>
      </c>
      <c r="C7354" s="14" t="s">
        <v>13868</v>
      </c>
      <c r="D7354" s="14">
        <v>1</v>
      </c>
      <c r="E7354" s="17">
        <v>1580.05</v>
      </c>
      <c r="F7354" s="16" t="s">
        <v>8</v>
      </c>
      <c r="G7354" s="38" t="str">
        <f>HYPERLINK("http://enext.ua/82.017")</f>
        <v>http://enext.ua/82.017</v>
      </c>
    </row>
    <row r="7355" spans="2:7" ht="11.25" outlineLevel="4" x14ac:dyDescent="0.2">
      <c r="B7355" s="14" t="s">
        <v>13869</v>
      </c>
      <c r="C7355" s="14" t="s">
        <v>13870</v>
      </c>
      <c r="D7355" s="14">
        <v>1</v>
      </c>
      <c r="E7355" s="17">
        <v>2152.5500000000002</v>
      </c>
      <c r="F7355" s="16" t="s">
        <v>8</v>
      </c>
      <c r="G7355" s="38" t="str">
        <f>HYPERLINK("http://enext.ua/82.003")</f>
        <v>http://enext.ua/82.003</v>
      </c>
    </row>
    <row r="7356" spans="2:7" ht="11.25" outlineLevel="4" x14ac:dyDescent="0.2">
      <c r="B7356" s="14" t="s">
        <v>13871</v>
      </c>
      <c r="C7356" s="14" t="s">
        <v>13872</v>
      </c>
      <c r="D7356" s="14">
        <v>1</v>
      </c>
      <c r="E7356" s="17">
        <v>2925.76</v>
      </c>
      <c r="F7356" s="16" t="s">
        <v>8</v>
      </c>
      <c r="G7356" s="38" t="str">
        <f>HYPERLINK("http://enext.ua/82.018")</f>
        <v>http://enext.ua/82.018</v>
      </c>
    </row>
    <row r="7357" spans="2:7" ht="11.25" outlineLevel="4" x14ac:dyDescent="0.2">
      <c r="B7357" s="14" t="s">
        <v>13873</v>
      </c>
      <c r="C7357" s="14" t="s">
        <v>13874</v>
      </c>
      <c r="D7357" s="14">
        <v>1</v>
      </c>
      <c r="E7357" s="17">
        <v>2820.95</v>
      </c>
      <c r="F7357" s="16" t="s">
        <v>8</v>
      </c>
      <c r="G7357" s="38" t="str">
        <f>HYPERLINK("http://enext.ua/82.004")</f>
        <v>http://enext.ua/82.004</v>
      </c>
    </row>
    <row r="7358" spans="2:7" ht="22.5" outlineLevel="4" x14ac:dyDescent="0.2">
      <c r="B7358" s="14" t="s">
        <v>13875</v>
      </c>
      <c r="C7358" s="14" t="s">
        <v>13876</v>
      </c>
      <c r="D7358" s="14">
        <v>1</v>
      </c>
      <c r="E7358" s="17">
        <v>1055.01</v>
      </c>
      <c r="F7358" s="16" t="s">
        <v>8</v>
      </c>
      <c r="G7358" s="38" t="str">
        <f>HYPERLINK("http://enext.ua/92.135/95")</f>
        <v>http://enext.ua/92.135/95</v>
      </c>
    </row>
    <row r="7359" spans="2:7" ht="22.5" outlineLevel="4" x14ac:dyDescent="0.2">
      <c r="B7359" s="14" t="s">
        <v>13877</v>
      </c>
      <c r="C7359" s="14" t="s">
        <v>13878</v>
      </c>
      <c r="D7359" s="14">
        <v>1</v>
      </c>
      <c r="E7359" s="17">
        <v>1054.03</v>
      </c>
      <c r="F7359" s="16" t="s">
        <v>8</v>
      </c>
      <c r="G7359" s="38" t="str">
        <f>HYPERLINK("http://enext.ua/92.133/95")</f>
        <v>http://enext.ua/92.133/95</v>
      </c>
    </row>
    <row r="7360" spans="2:7" ht="11.25" outlineLevel="4" x14ac:dyDescent="0.2">
      <c r="B7360" s="14" t="s">
        <v>13879</v>
      </c>
      <c r="C7360" s="14" t="s">
        <v>13880</v>
      </c>
      <c r="D7360" s="14">
        <v>1</v>
      </c>
      <c r="E7360" s="17">
        <v>2810.08</v>
      </c>
      <c r="F7360" s="16" t="s">
        <v>8</v>
      </c>
      <c r="G7360" s="38" t="str">
        <f>HYPERLINK("http://enext.ua/82.009")</f>
        <v>http://enext.ua/82.009</v>
      </c>
    </row>
    <row r="7361" spans="2:7" ht="11.25" outlineLevel="4" x14ac:dyDescent="0.2">
      <c r="B7361" s="14" t="s">
        <v>13881</v>
      </c>
      <c r="C7361" s="14" t="s">
        <v>13882</v>
      </c>
      <c r="D7361" s="14">
        <v>1</v>
      </c>
      <c r="E7361" s="17">
        <v>3698.98</v>
      </c>
      <c r="F7361" s="16" t="s">
        <v>8</v>
      </c>
      <c r="G7361" s="38" t="str">
        <f>HYPERLINK("http://enext.ua/82.010")</f>
        <v>http://enext.ua/82.010</v>
      </c>
    </row>
    <row r="7362" spans="2:7" ht="11.25" outlineLevel="4" x14ac:dyDescent="0.2">
      <c r="B7362" s="14" t="s">
        <v>13883</v>
      </c>
      <c r="C7362" s="14" t="s">
        <v>13884</v>
      </c>
      <c r="D7362" s="14">
        <v>1</v>
      </c>
      <c r="E7362" s="17">
        <v>7309.96</v>
      </c>
      <c r="F7362" s="16" t="s">
        <v>8</v>
      </c>
      <c r="G7362" s="38" t="str">
        <f>HYPERLINK("http://enext.ua/81.150")</f>
        <v>http://enext.ua/81.150</v>
      </c>
    </row>
    <row r="7363" spans="2:7" ht="11.25" outlineLevel="4" x14ac:dyDescent="0.2">
      <c r="B7363" s="14" t="s">
        <v>13885</v>
      </c>
      <c r="C7363" s="14" t="s">
        <v>13886</v>
      </c>
      <c r="D7363" s="14">
        <v>1</v>
      </c>
      <c r="E7363" s="17">
        <v>15417.36</v>
      </c>
      <c r="F7363" s="16" t="s">
        <v>8</v>
      </c>
      <c r="G7363" s="38" t="str">
        <f>HYPERLINK("http://enext.ua/81.132")</f>
        <v>http://enext.ua/81.132</v>
      </c>
    </row>
    <row r="7364" spans="2:7" ht="11.25" outlineLevel="4" x14ac:dyDescent="0.2">
      <c r="B7364" s="14" t="s">
        <v>13887</v>
      </c>
      <c r="C7364" s="14" t="s">
        <v>13888</v>
      </c>
      <c r="D7364" s="14">
        <v>1</v>
      </c>
      <c r="E7364" s="17">
        <v>19628.32</v>
      </c>
      <c r="F7364" s="16" t="s">
        <v>8</v>
      </c>
      <c r="G7364" s="38" t="str">
        <f>HYPERLINK("http://enext.ua/81.142")</f>
        <v>http://enext.ua/81.142</v>
      </c>
    </row>
    <row r="7365" spans="2:7" ht="11.25" outlineLevel="4" x14ac:dyDescent="0.2">
      <c r="B7365" s="14" t="s">
        <v>13889</v>
      </c>
      <c r="C7365" s="14" t="s">
        <v>13890</v>
      </c>
      <c r="D7365" s="14">
        <v>1</v>
      </c>
      <c r="E7365" s="17">
        <v>22396.57</v>
      </c>
      <c r="F7365" s="16" t="s">
        <v>8</v>
      </c>
      <c r="G7365" s="38" t="str">
        <f>HYPERLINK("http://enext.ua/81.128")</f>
        <v>http://enext.ua/81.128</v>
      </c>
    </row>
    <row r="7366" spans="2:7" ht="11.25" outlineLevel="4" x14ac:dyDescent="0.2">
      <c r="B7366" s="14" t="s">
        <v>13891</v>
      </c>
      <c r="C7366" s="14" t="s">
        <v>13892</v>
      </c>
      <c r="D7366" s="14">
        <v>1</v>
      </c>
      <c r="E7366" s="17">
        <v>1606.75</v>
      </c>
      <c r="F7366" s="16" t="s">
        <v>8</v>
      </c>
      <c r="G7366" s="38" t="str">
        <f>HYPERLINK("http://enext.ua/92.024")</f>
        <v>http://enext.ua/92.024</v>
      </c>
    </row>
    <row r="7367" spans="2:7" ht="11.25" outlineLevel="4" x14ac:dyDescent="0.2">
      <c r="B7367" s="14" t="s">
        <v>13893</v>
      </c>
      <c r="C7367" s="14" t="s">
        <v>13894</v>
      </c>
      <c r="D7367" s="14">
        <v>1</v>
      </c>
      <c r="E7367" s="17">
        <v>3737.54</v>
      </c>
      <c r="F7367" s="16" t="s">
        <v>8</v>
      </c>
      <c r="G7367" s="38" t="str">
        <f>HYPERLINK("http://enext.ua/92.042")</f>
        <v>http://enext.ua/92.042</v>
      </c>
    </row>
    <row r="7368" spans="2:7" ht="12" outlineLevel="3" x14ac:dyDescent="0.2">
      <c r="B7368" s="10"/>
      <c r="C7368" s="36" t="s">
        <v>13895</v>
      </c>
      <c r="D7368" s="10"/>
      <c r="E7368" s="11"/>
      <c r="F7368" s="11"/>
      <c r="G7368" s="10"/>
    </row>
    <row r="7369" spans="2:7" ht="11.25" outlineLevel="4" x14ac:dyDescent="0.2">
      <c r="B7369" s="14" t="s">
        <v>13896</v>
      </c>
      <c r="C7369" s="14" t="s">
        <v>13897</v>
      </c>
      <c r="D7369" s="14">
        <v>1</v>
      </c>
      <c r="E7369" s="17">
        <v>33516</v>
      </c>
      <c r="F7369" s="16" t="s">
        <v>8</v>
      </c>
      <c r="G7369" s="38" t="str">
        <f>HYPERLINK("http://enext.ua/450230Y80")</f>
        <v>http://enext.ua/450230Y80</v>
      </c>
    </row>
    <row r="7370" spans="2:7" ht="12" outlineLevel="3" x14ac:dyDescent="0.2">
      <c r="B7370" s="10"/>
      <c r="C7370" s="36" t="s">
        <v>13898</v>
      </c>
      <c r="D7370" s="10"/>
      <c r="E7370" s="11"/>
      <c r="F7370" s="11"/>
      <c r="G7370" s="10"/>
    </row>
    <row r="7371" spans="2:7" ht="11.25" outlineLevel="4" x14ac:dyDescent="0.2">
      <c r="B7371" s="14" t="s">
        <v>13899</v>
      </c>
      <c r="C7371" s="14" t="s">
        <v>13900</v>
      </c>
      <c r="D7371" s="14">
        <v>1</v>
      </c>
      <c r="E7371" s="17">
        <v>1668.06</v>
      </c>
      <c r="F7371" s="16" t="s">
        <v>8</v>
      </c>
      <c r="G7371" s="14"/>
    </row>
    <row r="7372" spans="2:7" ht="11.25" outlineLevel="4" x14ac:dyDescent="0.2">
      <c r="B7372" s="14" t="s">
        <v>13901</v>
      </c>
      <c r="C7372" s="14" t="s">
        <v>13902</v>
      </c>
      <c r="D7372" s="14">
        <v>1</v>
      </c>
      <c r="E7372" s="17">
        <v>5027.5600000000004</v>
      </c>
      <c r="F7372" s="16" t="s">
        <v>8</v>
      </c>
      <c r="G7372" s="14"/>
    </row>
    <row r="7373" spans="2:7" ht="11.25" outlineLevel="4" x14ac:dyDescent="0.2">
      <c r="B7373" s="14" t="s">
        <v>13903</v>
      </c>
      <c r="C7373" s="14" t="s">
        <v>13904</v>
      </c>
      <c r="D7373" s="14">
        <v>1</v>
      </c>
      <c r="E7373" s="17">
        <v>1407.49</v>
      </c>
      <c r="F7373" s="16" t="s">
        <v>8</v>
      </c>
      <c r="G7373" s="38" t="str">
        <f>HYPERLINK("http://enext.ua/5093724")</f>
        <v>http://enext.ua/5093724</v>
      </c>
    </row>
    <row r="7374" spans="2:7" ht="11.25" outlineLevel="4" x14ac:dyDescent="0.2">
      <c r="B7374" s="14" t="s">
        <v>13905</v>
      </c>
      <c r="C7374" s="14" t="s">
        <v>13906</v>
      </c>
      <c r="D7374" s="14">
        <v>1</v>
      </c>
      <c r="E7374" s="17">
        <v>4365.6499999999996</v>
      </c>
      <c r="F7374" s="16" t="s">
        <v>8</v>
      </c>
      <c r="G7374" s="38" t="str">
        <f>HYPERLINK("http://enext.ua/5096849")</f>
        <v>http://enext.ua/5096849</v>
      </c>
    </row>
    <row r="7375" spans="2:7" ht="11.25" outlineLevel="4" x14ac:dyDescent="0.2">
      <c r="B7375" s="14" t="s">
        <v>13907</v>
      </c>
      <c r="C7375" s="14" t="s">
        <v>13908</v>
      </c>
      <c r="D7375" s="14">
        <v>1</v>
      </c>
      <c r="E7375" s="17">
        <v>3608.56</v>
      </c>
      <c r="F7375" s="16" t="s">
        <v>8</v>
      </c>
      <c r="G7375" s="38" t="str">
        <f>HYPERLINK("http://enext.ua/5094656")</f>
        <v>http://enext.ua/5094656</v>
      </c>
    </row>
    <row r="7376" spans="2:7" ht="11.25" outlineLevel="4" x14ac:dyDescent="0.2">
      <c r="B7376" s="14" t="s">
        <v>13909</v>
      </c>
      <c r="C7376" s="14" t="s">
        <v>13910</v>
      </c>
      <c r="D7376" s="14">
        <v>1</v>
      </c>
      <c r="E7376" s="17">
        <v>4811.8</v>
      </c>
      <c r="F7376" s="16" t="s">
        <v>8</v>
      </c>
      <c r="G7376" s="38" t="str">
        <f>HYPERLINK("http://enext.ua/5094423")</f>
        <v>http://enext.ua/5094423</v>
      </c>
    </row>
    <row r="7377" spans="2:7" ht="11.25" outlineLevel="4" x14ac:dyDescent="0.2">
      <c r="B7377" s="14" t="s">
        <v>13911</v>
      </c>
      <c r="C7377" s="14" t="s">
        <v>13912</v>
      </c>
      <c r="D7377" s="14">
        <v>1</v>
      </c>
      <c r="E7377" s="17">
        <v>2792.78</v>
      </c>
      <c r="F7377" s="16" t="s">
        <v>8</v>
      </c>
      <c r="G7377" s="38" t="str">
        <f>HYPERLINK("http://enext.ua/5093380")</f>
        <v>http://enext.ua/5093380</v>
      </c>
    </row>
    <row r="7378" spans="2:7" ht="11.25" outlineLevel="4" x14ac:dyDescent="0.2">
      <c r="B7378" s="14" t="s">
        <v>13913</v>
      </c>
      <c r="C7378" s="14" t="s">
        <v>13914</v>
      </c>
      <c r="D7378" s="14">
        <v>1</v>
      </c>
      <c r="E7378" s="17">
        <v>12609.71</v>
      </c>
      <c r="F7378" s="16" t="s">
        <v>8</v>
      </c>
      <c r="G7378" s="14"/>
    </row>
    <row r="7379" spans="2:7" ht="11.25" outlineLevel="4" x14ac:dyDescent="0.2">
      <c r="B7379" s="14" t="s">
        <v>13915</v>
      </c>
      <c r="C7379" s="14" t="s">
        <v>13916</v>
      </c>
      <c r="D7379" s="14">
        <v>1</v>
      </c>
      <c r="E7379" s="17">
        <v>17075.310000000001</v>
      </c>
      <c r="F7379" s="16" t="s">
        <v>8</v>
      </c>
      <c r="G7379" s="14"/>
    </row>
    <row r="7380" spans="2:7" ht="11.25" outlineLevel="4" x14ac:dyDescent="0.2">
      <c r="B7380" s="14" t="s">
        <v>13917</v>
      </c>
      <c r="C7380" s="14" t="s">
        <v>13918</v>
      </c>
      <c r="D7380" s="14">
        <v>1</v>
      </c>
      <c r="E7380" s="17">
        <v>4060.67</v>
      </c>
      <c r="F7380" s="16" t="s">
        <v>8</v>
      </c>
      <c r="G7380" s="38" t="str">
        <f>HYPERLINK("http://enext.ua/5093627")</f>
        <v>http://enext.ua/5093627</v>
      </c>
    </row>
    <row r="7381" spans="2:7" ht="11.25" outlineLevel="4" x14ac:dyDescent="0.2">
      <c r="B7381" s="14" t="s">
        <v>13919</v>
      </c>
      <c r="C7381" s="14" t="s">
        <v>13920</v>
      </c>
      <c r="D7381" s="14">
        <v>1</v>
      </c>
      <c r="E7381" s="17">
        <v>5955.18</v>
      </c>
      <c r="F7381" s="16" t="s">
        <v>8</v>
      </c>
      <c r="G7381" s="38" t="str">
        <f>HYPERLINK("http://enext.ua/5093654")</f>
        <v>http://enext.ua/5093654</v>
      </c>
    </row>
    <row r="7382" spans="2:7" ht="11.25" outlineLevel="4" x14ac:dyDescent="0.2">
      <c r="B7382" s="14" t="s">
        <v>13921</v>
      </c>
      <c r="C7382" s="14" t="s">
        <v>13922</v>
      </c>
      <c r="D7382" s="14">
        <v>1</v>
      </c>
      <c r="E7382" s="17">
        <v>4044.41</v>
      </c>
      <c r="F7382" s="16" t="s">
        <v>8</v>
      </c>
      <c r="G7382" s="38" t="str">
        <f>HYPERLINK("http://enext.ua/5083400")</f>
        <v>http://enext.ua/5083400</v>
      </c>
    </row>
    <row r="7383" spans="2:7" ht="11.25" outlineLevel="4" x14ac:dyDescent="0.2">
      <c r="B7383" s="14" t="s">
        <v>13923</v>
      </c>
      <c r="C7383" s="14" t="s">
        <v>13924</v>
      </c>
      <c r="D7383" s="14">
        <v>1</v>
      </c>
      <c r="E7383" s="17">
        <v>5140.99</v>
      </c>
      <c r="F7383" s="16" t="s">
        <v>8</v>
      </c>
      <c r="G7383" s="38" t="str">
        <f>HYPERLINK("http://enext.ua/5081800")</f>
        <v>http://enext.ua/5081800</v>
      </c>
    </row>
    <row r="7384" spans="2:7" ht="11.25" outlineLevel="4" x14ac:dyDescent="0.2">
      <c r="B7384" s="14" t="s">
        <v>13925</v>
      </c>
      <c r="C7384" s="14" t="s">
        <v>13926</v>
      </c>
      <c r="D7384" s="14">
        <v>1</v>
      </c>
      <c r="E7384" s="17">
        <v>2236.77</v>
      </c>
      <c r="F7384" s="16" t="s">
        <v>8</v>
      </c>
      <c r="G7384" s="14"/>
    </row>
    <row r="7385" spans="2:7" ht="11.25" outlineLevel="4" x14ac:dyDescent="0.2">
      <c r="B7385" s="14" t="s">
        <v>13927</v>
      </c>
      <c r="C7385" s="14" t="s">
        <v>13928</v>
      </c>
      <c r="D7385" s="14">
        <v>1</v>
      </c>
      <c r="E7385" s="17">
        <v>5189.1899999999996</v>
      </c>
      <c r="F7385" s="16" t="s">
        <v>8</v>
      </c>
      <c r="G7385" s="38" t="str">
        <f>HYPERLINK("http://enext.ua/5096865")</f>
        <v>http://enext.ua/5096865</v>
      </c>
    </row>
    <row r="7386" spans="2:7" ht="12" outlineLevel="2" x14ac:dyDescent="0.2">
      <c r="B7386" s="8"/>
      <c r="C7386" s="35" t="s">
        <v>13929</v>
      </c>
      <c r="D7386" s="8"/>
      <c r="E7386" s="9"/>
      <c r="F7386" s="9"/>
      <c r="G7386" s="8"/>
    </row>
    <row r="7387" spans="2:7" ht="12" outlineLevel="3" x14ac:dyDescent="0.2">
      <c r="B7387" s="10"/>
      <c r="C7387" s="36" t="s">
        <v>13930</v>
      </c>
      <c r="D7387" s="10"/>
      <c r="E7387" s="11"/>
      <c r="F7387" s="11"/>
      <c r="G7387" s="10"/>
    </row>
    <row r="7388" spans="2:7" ht="11.25" outlineLevel="4" x14ac:dyDescent="0.2">
      <c r="B7388" s="14" t="s">
        <v>13931</v>
      </c>
      <c r="C7388" s="14" t="s">
        <v>13932</v>
      </c>
      <c r="D7388" s="14">
        <v>1</v>
      </c>
      <c r="E7388" s="17">
        <v>2738.07</v>
      </c>
      <c r="F7388" s="16" t="s">
        <v>8</v>
      </c>
      <c r="G7388" s="14"/>
    </row>
    <row r="7389" spans="2:7" ht="11.25" outlineLevel="4" x14ac:dyDescent="0.2">
      <c r="B7389" s="14" t="s">
        <v>13933</v>
      </c>
      <c r="C7389" s="14" t="s">
        <v>13934</v>
      </c>
      <c r="D7389" s="14">
        <v>1</v>
      </c>
      <c r="E7389" s="15">
        <v>290.39999999999998</v>
      </c>
      <c r="F7389" s="16" t="s">
        <v>8</v>
      </c>
      <c r="G7389" s="14"/>
    </row>
    <row r="7390" spans="2:7" ht="11.25" outlineLevel="4" x14ac:dyDescent="0.2">
      <c r="B7390" s="14" t="s">
        <v>13935</v>
      </c>
      <c r="C7390" s="14" t="s">
        <v>13936</v>
      </c>
      <c r="D7390" s="14">
        <v>1</v>
      </c>
      <c r="E7390" s="15">
        <v>260.91000000000003</v>
      </c>
      <c r="F7390" s="16" t="s">
        <v>8</v>
      </c>
      <c r="G7390" s="14"/>
    </row>
    <row r="7391" spans="2:7" ht="11.25" outlineLevel="4" x14ac:dyDescent="0.2">
      <c r="B7391" s="14" t="s">
        <v>13937</v>
      </c>
      <c r="C7391" s="14" t="s">
        <v>13938</v>
      </c>
      <c r="D7391" s="14">
        <v>1</v>
      </c>
      <c r="E7391" s="15">
        <v>437.39</v>
      </c>
      <c r="F7391" s="16" t="s">
        <v>8</v>
      </c>
      <c r="G7391" s="38" t="str">
        <f>HYPERLINK("http://enext.ua/5401980")</f>
        <v>http://enext.ua/5401980</v>
      </c>
    </row>
    <row r="7392" spans="2:7" ht="11.25" outlineLevel="4" x14ac:dyDescent="0.2">
      <c r="B7392" s="14" t="s">
        <v>13939</v>
      </c>
      <c r="C7392" s="14" t="s">
        <v>13940</v>
      </c>
      <c r="D7392" s="14">
        <v>1</v>
      </c>
      <c r="E7392" s="15">
        <v>544.41999999999996</v>
      </c>
      <c r="F7392" s="16" t="s">
        <v>8</v>
      </c>
      <c r="G7392" s="38" t="str">
        <f>HYPERLINK("http://enext.ua/5401983")</f>
        <v>http://enext.ua/5401983</v>
      </c>
    </row>
    <row r="7393" spans="2:7" ht="11.25" outlineLevel="4" x14ac:dyDescent="0.2">
      <c r="B7393" s="14" t="s">
        <v>13941</v>
      </c>
      <c r="C7393" s="14" t="s">
        <v>13942</v>
      </c>
      <c r="D7393" s="14">
        <v>1</v>
      </c>
      <c r="E7393" s="15">
        <v>622.6</v>
      </c>
      <c r="F7393" s="16" t="s">
        <v>8</v>
      </c>
      <c r="G7393" s="38" t="str">
        <f>HYPERLINK("http://enext.ua/5401986")</f>
        <v>http://enext.ua/5401986</v>
      </c>
    </row>
    <row r="7394" spans="2:7" ht="11.25" outlineLevel="4" x14ac:dyDescent="0.2">
      <c r="B7394" s="14" t="s">
        <v>13943</v>
      </c>
      <c r="C7394" s="14" t="s">
        <v>13944</v>
      </c>
      <c r="D7394" s="14">
        <v>1</v>
      </c>
      <c r="E7394" s="15">
        <v>721.99</v>
      </c>
      <c r="F7394" s="16" t="s">
        <v>8</v>
      </c>
      <c r="G7394" s="38" t="str">
        <f>HYPERLINK("http://enext.ua/5401989")</f>
        <v>http://enext.ua/5401989</v>
      </c>
    </row>
    <row r="7395" spans="2:7" ht="11.25" outlineLevel="4" x14ac:dyDescent="0.2">
      <c r="B7395" s="14" t="s">
        <v>13945</v>
      </c>
      <c r="C7395" s="14" t="s">
        <v>13946</v>
      </c>
      <c r="D7395" s="14">
        <v>1</v>
      </c>
      <c r="E7395" s="15">
        <v>983.4</v>
      </c>
      <c r="F7395" s="16" t="s">
        <v>8</v>
      </c>
      <c r="G7395" s="38" t="str">
        <f>HYPERLINK("http://enext.ua/5401993")</f>
        <v>http://enext.ua/5401993</v>
      </c>
    </row>
    <row r="7396" spans="2:7" ht="11.25" outlineLevel="4" x14ac:dyDescent="0.2">
      <c r="B7396" s="14" t="s">
        <v>13947</v>
      </c>
      <c r="C7396" s="14" t="s">
        <v>13948</v>
      </c>
      <c r="D7396" s="14">
        <v>1</v>
      </c>
      <c r="E7396" s="17">
        <v>1006.76</v>
      </c>
      <c r="F7396" s="16" t="s">
        <v>8</v>
      </c>
      <c r="G7396" s="38" t="str">
        <f>HYPERLINK("http://enext.ua/5401995")</f>
        <v>http://enext.ua/5401995</v>
      </c>
    </row>
    <row r="7397" spans="2:7" ht="11.25" outlineLevel="4" x14ac:dyDescent="0.2">
      <c r="B7397" s="14" t="s">
        <v>13949</v>
      </c>
      <c r="C7397" s="14" t="s">
        <v>13950</v>
      </c>
      <c r="D7397" s="14">
        <v>1</v>
      </c>
      <c r="E7397" s="15">
        <v>6.8</v>
      </c>
      <c r="F7397" s="16" t="s">
        <v>8</v>
      </c>
      <c r="G7397" s="14"/>
    </row>
    <row r="7398" spans="2:7" ht="11.25" outlineLevel="4" x14ac:dyDescent="0.2">
      <c r="B7398" s="14" t="s">
        <v>13951</v>
      </c>
      <c r="C7398" s="14" t="s">
        <v>13952</v>
      </c>
      <c r="D7398" s="14">
        <v>1</v>
      </c>
      <c r="E7398" s="15">
        <v>102.2</v>
      </c>
      <c r="F7398" s="16" t="s">
        <v>8</v>
      </c>
      <c r="G7398" s="14"/>
    </row>
    <row r="7399" spans="2:7" ht="11.25" outlineLevel="4" x14ac:dyDescent="0.2">
      <c r="B7399" s="14" t="s">
        <v>13953</v>
      </c>
      <c r="C7399" s="14" t="s">
        <v>13954</v>
      </c>
      <c r="D7399" s="14">
        <v>1</v>
      </c>
      <c r="E7399" s="15">
        <v>106.71</v>
      </c>
      <c r="F7399" s="16" t="s">
        <v>8</v>
      </c>
      <c r="G7399" s="14"/>
    </row>
    <row r="7400" spans="2:7" ht="11.25" outlineLevel="4" x14ac:dyDescent="0.2">
      <c r="B7400" s="14" t="s">
        <v>13955</v>
      </c>
      <c r="C7400" s="14" t="s">
        <v>13956</v>
      </c>
      <c r="D7400" s="14">
        <v>1</v>
      </c>
      <c r="E7400" s="15">
        <v>122.49</v>
      </c>
      <c r="F7400" s="16" t="s">
        <v>8</v>
      </c>
      <c r="G7400" s="38" t="str">
        <f>HYPERLINK("http://enext.ua/5336341")</f>
        <v>http://enext.ua/5336341</v>
      </c>
    </row>
    <row r="7401" spans="2:7" ht="11.25" outlineLevel="4" x14ac:dyDescent="0.2">
      <c r="B7401" s="14" t="s">
        <v>13957</v>
      </c>
      <c r="C7401" s="14" t="s">
        <v>13958</v>
      </c>
      <c r="D7401" s="14">
        <v>1</v>
      </c>
      <c r="E7401" s="15">
        <v>76.97</v>
      </c>
      <c r="F7401" s="16" t="s">
        <v>8</v>
      </c>
      <c r="G7401" s="38" t="str">
        <f>HYPERLINK("http://enext.ua/5336007")</f>
        <v>http://enext.ua/5336007</v>
      </c>
    </row>
    <row r="7402" spans="2:7" ht="11.25" outlineLevel="4" x14ac:dyDescent="0.2">
      <c r="B7402" s="14" t="s">
        <v>13959</v>
      </c>
      <c r="C7402" s="14" t="s">
        <v>13958</v>
      </c>
      <c r="D7402" s="14">
        <v>1</v>
      </c>
      <c r="E7402" s="15">
        <v>119.66</v>
      </c>
      <c r="F7402" s="16" t="s">
        <v>8</v>
      </c>
      <c r="G7402" s="38" t="str">
        <f>HYPERLINK("http://enext.ua/5336309")</f>
        <v>http://enext.ua/5336309</v>
      </c>
    </row>
    <row r="7403" spans="2:7" ht="11.25" outlineLevel="4" x14ac:dyDescent="0.2">
      <c r="B7403" s="14" t="s">
        <v>13960</v>
      </c>
      <c r="C7403" s="14" t="s">
        <v>13961</v>
      </c>
      <c r="D7403" s="14">
        <v>1</v>
      </c>
      <c r="E7403" s="15">
        <v>242.54</v>
      </c>
      <c r="F7403" s="16" t="s">
        <v>8</v>
      </c>
      <c r="G7403" s="14"/>
    </row>
    <row r="7404" spans="2:7" ht="11.25" outlineLevel="4" x14ac:dyDescent="0.2">
      <c r="B7404" s="14" t="s">
        <v>13962</v>
      </c>
      <c r="C7404" s="14" t="s">
        <v>13963</v>
      </c>
      <c r="D7404" s="14">
        <v>1</v>
      </c>
      <c r="E7404" s="15">
        <v>298.12</v>
      </c>
      <c r="F7404" s="16" t="s">
        <v>8</v>
      </c>
      <c r="G7404" s="14"/>
    </row>
    <row r="7405" spans="2:7" ht="11.25" outlineLevel="4" x14ac:dyDescent="0.2">
      <c r="B7405" s="14" t="s">
        <v>13964</v>
      </c>
      <c r="C7405" s="14" t="s">
        <v>13965</v>
      </c>
      <c r="D7405" s="14">
        <v>1</v>
      </c>
      <c r="E7405" s="15">
        <v>337.17</v>
      </c>
      <c r="F7405" s="16" t="s">
        <v>8</v>
      </c>
      <c r="G7405" s="14"/>
    </row>
    <row r="7406" spans="2:7" ht="11.25" outlineLevel="4" x14ac:dyDescent="0.2">
      <c r="B7406" s="14" t="s">
        <v>13966</v>
      </c>
      <c r="C7406" s="14" t="s">
        <v>13967</v>
      </c>
      <c r="D7406" s="14">
        <v>1</v>
      </c>
      <c r="E7406" s="15">
        <v>48.08</v>
      </c>
      <c r="F7406" s="16" t="s">
        <v>8</v>
      </c>
      <c r="G7406" s="14"/>
    </row>
    <row r="7407" spans="2:7" ht="11.25" outlineLevel="4" x14ac:dyDescent="0.2">
      <c r="B7407" s="14" t="s">
        <v>13968</v>
      </c>
      <c r="C7407" s="14" t="s">
        <v>13969</v>
      </c>
      <c r="D7407" s="14">
        <v>1</v>
      </c>
      <c r="E7407" s="15">
        <v>119</v>
      </c>
      <c r="F7407" s="16" t="s">
        <v>8</v>
      </c>
      <c r="G7407" s="14"/>
    </row>
    <row r="7408" spans="2:7" ht="11.25" outlineLevel="4" x14ac:dyDescent="0.2">
      <c r="B7408" s="14" t="s">
        <v>13970</v>
      </c>
      <c r="C7408" s="14" t="s">
        <v>13971</v>
      </c>
      <c r="D7408" s="14">
        <v>1</v>
      </c>
      <c r="E7408" s="15">
        <v>91.57</v>
      </c>
      <c r="F7408" s="16" t="s">
        <v>8</v>
      </c>
      <c r="G7408" s="38" t="str">
        <f>HYPERLINK("http://enext.ua/5336457")</f>
        <v>http://enext.ua/5336457</v>
      </c>
    </row>
    <row r="7409" spans="2:7" ht="11.25" outlineLevel="4" x14ac:dyDescent="0.2">
      <c r="B7409" s="14" t="s">
        <v>13972</v>
      </c>
      <c r="C7409" s="14" t="s">
        <v>13973</v>
      </c>
      <c r="D7409" s="14">
        <v>1</v>
      </c>
      <c r="E7409" s="15">
        <v>41.98</v>
      </c>
      <c r="F7409" s="16" t="s">
        <v>8</v>
      </c>
      <c r="G7409" s="14"/>
    </row>
    <row r="7410" spans="2:7" ht="11.25" outlineLevel="4" x14ac:dyDescent="0.2">
      <c r="B7410" s="14" t="s">
        <v>13974</v>
      </c>
      <c r="C7410" s="14" t="s">
        <v>13975</v>
      </c>
      <c r="D7410" s="14">
        <v>1</v>
      </c>
      <c r="E7410" s="15">
        <v>115.3</v>
      </c>
      <c r="F7410" s="16" t="s">
        <v>8</v>
      </c>
      <c r="G7410" s="38" t="str">
        <f>HYPERLINK("http://enext.ua/5336058")</f>
        <v>http://enext.ua/5336058</v>
      </c>
    </row>
    <row r="7411" spans="2:7" ht="11.25" outlineLevel="4" x14ac:dyDescent="0.2">
      <c r="B7411" s="14" t="s">
        <v>13976</v>
      </c>
      <c r="C7411" s="14" t="s">
        <v>13977</v>
      </c>
      <c r="D7411" s="14">
        <v>1</v>
      </c>
      <c r="E7411" s="15">
        <v>130.99</v>
      </c>
      <c r="F7411" s="16" t="s">
        <v>8</v>
      </c>
      <c r="G7411" s="38" t="str">
        <f>HYPERLINK("http://enext.ua/5091322")</f>
        <v>http://enext.ua/5091322</v>
      </c>
    </row>
    <row r="7412" spans="2:7" ht="11.25" outlineLevel="4" x14ac:dyDescent="0.2">
      <c r="B7412" s="14" t="s">
        <v>13978</v>
      </c>
      <c r="C7412" s="14" t="s">
        <v>13979</v>
      </c>
      <c r="D7412" s="14">
        <v>1</v>
      </c>
      <c r="E7412" s="15">
        <v>72.489999999999995</v>
      </c>
      <c r="F7412" s="16" t="s">
        <v>8</v>
      </c>
      <c r="G7412" s="38" t="str">
        <f>HYPERLINK("http://enext.ua/5316014")</f>
        <v>http://enext.ua/5316014</v>
      </c>
    </row>
    <row r="7413" spans="2:7" ht="11.25" outlineLevel="4" x14ac:dyDescent="0.2">
      <c r="B7413" s="14" t="s">
        <v>13980</v>
      </c>
      <c r="C7413" s="14" t="s">
        <v>13981</v>
      </c>
      <c r="D7413" s="14">
        <v>1</v>
      </c>
      <c r="E7413" s="15">
        <v>318.04000000000002</v>
      </c>
      <c r="F7413" s="16" t="s">
        <v>8</v>
      </c>
      <c r="G7413" s="14"/>
    </row>
    <row r="7414" spans="2:7" ht="11.25" outlineLevel="4" x14ac:dyDescent="0.2">
      <c r="B7414" s="14" t="s">
        <v>13982</v>
      </c>
      <c r="C7414" s="14" t="s">
        <v>13983</v>
      </c>
      <c r="D7414" s="14">
        <v>1</v>
      </c>
      <c r="E7414" s="15">
        <v>67.81</v>
      </c>
      <c r="F7414" s="16" t="s">
        <v>8</v>
      </c>
      <c r="G7414" s="14"/>
    </row>
    <row r="7415" spans="2:7" ht="11.25" outlineLevel="4" x14ac:dyDescent="0.2">
      <c r="B7415" s="14" t="s">
        <v>13984</v>
      </c>
      <c r="C7415" s="14" t="s">
        <v>13985</v>
      </c>
      <c r="D7415" s="14">
        <v>1</v>
      </c>
      <c r="E7415" s="15">
        <v>76.84</v>
      </c>
      <c r="F7415" s="16" t="s">
        <v>8</v>
      </c>
      <c r="G7415" s="38" t="str">
        <f>HYPERLINK("http://enext.ua/5218926")</f>
        <v>http://enext.ua/5218926</v>
      </c>
    </row>
    <row r="7416" spans="2:7" ht="11.25" outlineLevel="4" x14ac:dyDescent="0.2">
      <c r="B7416" s="14" t="s">
        <v>13986</v>
      </c>
      <c r="C7416" s="14" t="s">
        <v>13987</v>
      </c>
      <c r="D7416" s="14">
        <v>1</v>
      </c>
      <c r="E7416" s="15">
        <v>145.38</v>
      </c>
      <c r="F7416" s="16" t="s">
        <v>8</v>
      </c>
      <c r="G7416" s="14"/>
    </row>
    <row r="7417" spans="2:7" ht="11.25" outlineLevel="4" x14ac:dyDescent="0.2">
      <c r="B7417" s="14" t="s">
        <v>13988</v>
      </c>
      <c r="C7417" s="14" t="s">
        <v>13989</v>
      </c>
      <c r="D7417" s="14">
        <v>1</v>
      </c>
      <c r="E7417" s="15">
        <v>37.68</v>
      </c>
      <c r="F7417" s="16" t="s">
        <v>4214</v>
      </c>
      <c r="G7417" s="14"/>
    </row>
    <row r="7418" spans="2:7" ht="11.25" outlineLevel="4" x14ac:dyDescent="0.2">
      <c r="B7418" s="14" t="s">
        <v>13990</v>
      </c>
      <c r="C7418" s="14" t="s">
        <v>13991</v>
      </c>
      <c r="D7418" s="14">
        <v>1</v>
      </c>
      <c r="E7418" s="15">
        <v>120.49</v>
      </c>
      <c r="F7418" s="16" t="s">
        <v>8</v>
      </c>
      <c r="G7418" s="14"/>
    </row>
    <row r="7419" spans="2:7" ht="11.25" outlineLevel="4" x14ac:dyDescent="0.2">
      <c r="B7419" s="14" t="s">
        <v>13992</v>
      </c>
      <c r="C7419" s="14" t="s">
        <v>13991</v>
      </c>
      <c r="D7419" s="14">
        <v>1</v>
      </c>
      <c r="E7419" s="15">
        <v>71.16</v>
      </c>
      <c r="F7419" s="16" t="s">
        <v>8</v>
      </c>
      <c r="G7419" s="14"/>
    </row>
    <row r="7420" spans="2:7" ht="11.25" outlineLevel="4" x14ac:dyDescent="0.2">
      <c r="B7420" s="14" t="s">
        <v>13993</v>
      </c>
      <c r="C7420" s="14" t="s">
        <v>13994</v>
      </c>
      <c r="D7420" s="14">
        <v>1</v>
      </c>
      <c r="E7420" s="15">
        <v>146.66</v>
      </c>
      <c r="F7420" s="16" t="s">
        <v>8</v>
      </c>
      <c r="G7420" s="38" t="str">
        <f>HYPERLINK("http://enext.ua/5202833")</f>
        <v>http://enext.ua/5202833</v>
      </c>
    </row>
    <row r="7421" spans="2:7" ht="11.25" outlineLevel="4" x14ac:dyDescent="0.2">
      <c r="B7421" s="14" t="s">
        <v>13995</v>
      </c>
      <c r="C7421" s="14" t="s">
        <v>13991</v>
      </c>
      <c r="D7421" s="14">
        <v>1</v>
      </c>
      <c r="E7421" s="15">
        <v>188.18</v>
      </c>
      <c r="F7421" s="16" t="s">
        <v>8</v>
      </c>
      <c r="G7421" s="14"/>
    </row>
    <row r="7422" spans="2:7" ht="11.25" outlineLevel="4" x14ac:dyDescent="0.2">
      <c r="B7422" s="14" t="s">
        <v>13996</v>
      </c>
      <c r="C7422" s="14" t="s">
        <v>13991</v>
      </c>
      <c r="D7422" s="14">
        <v>1</v>
      </c>
      <c r="E7422" s="15">
        <v>56.72</v>
      </c>
      <c r="F7422" s="16" t="s">
        <v>8</v>
      </c>
      <c r="G7422" s="38" t="str">
        <f>HYPERLINK("http://enext.ua/5216818")</f>
        <v>http://enext.ua/5216818</v>
      </c>
    </row>
    <row r="7423" spans="2:7" ht="11.25" outlineLevel="4" x14ac:dyDescent="0.2">
      <c r="B7423" s="14" t="s">
        <v>13997</v>
      </c>
      <c r="C7423" s="14" t="s">
        <v>13998</v>
      </c>
      <c r="D7423" s="14">
        <v>1</v>
      </c>
      <c r="E7423" s="15">
        <v>27.6</v>
      </c>
      <c r="F7423" s="16" t="s">
        <v>8</v>
      </c>
      <c r="G7423" s="14"/>
    </row>
    <row r="7424" spans="2:7" ht="11.25" outlineLevel="4" x14ac:dyDescent="0.2">
      <c r="B7424" s="14" t="s">
        <v>13999</v>
      </c>
      <c r="C7424" s="14" t="s">
        <v>14000</v>
      </c>
      <c r="D7424" s="14">
        <v>1</v>
      </c>
      <c r="E7424" s="15">
        <v>272.33999999999997</v>
      </c>
      <c r="F7424" s="16" t="s">
        <v>8</v>
      </c>
      <c r="G7424" s="14"/>
    </row>
    <row r="7425" spans="2:7" ht="11.25" outlineLevel="4" x14ac:dyDescent="0.2">
      <c r="B7425" s="14" t="s">
        <v>14001</v>
      </c>
      <c r="C7425" s="14" t="s">
        <v>14002</v>
      </c>
      <c r="D7425" s="14">
        <v>1</v>
      </c>
      <c r="E7425" s="15">
        <v>44.79</v>
      </c>
      <c r="F7425" s="16" t="s">
        <v>8</v>
      </c>
      <c r="G7425" s="38" t="str">
        <f>HYPERLINK("http://enext.ua/5218691")</f>
        <v>http://enext.ua/5218691</v>
      </c>
    </row>
    <row r="7426" spans="2:7" ht="11.25" outlineLevel="4" x14ac:dyDescent="0.2">
      <c r="B7426" s="14" t="s">
        <v>14003</v>
      </c>
      <c r="C7426" s="14" t="s">
        <v>13991</v>
      </c>
      <c r="D7426" s="14">
        <v>1</v>
      </c>
      <c r="E7426" s="15">
        <v>244.65</v>
      </c>
      <c r="F7426" s="16" t="s">
        <v>8</v>
      </c>
      <c r="G7426" s="14"/>
    </row>
    <row r="7427" spans="2:7" ht="11.25" outlineLevel="4" x14ac:dyDescent="0.2">
      <c r="B7427" s="14" t="s">
        <v>14004</v>
      </c>
      <c r="C7427" s="14" t="s">
        <v>14005</v>
      </c>
      <c r="D7427" s="14">
        <v>1</v>
      </c>
      <c r="E7427" s="15">
        <v>130.97999999999999</v>
      </c>
      <c r="F7427" s="16" t="s">
        <v>8</v>
      </c>
      <c r="G7427" s="14"/>
    </row>
    <row r="7428" spans="2:7" ht="11.25" outlineLevel="4" x14ac:dyDescent="0.2">
      <c r="B7428" s="14" t="s">
        <v>14006</v>
      </c>
      <c r="C7428" s="14" t="s">
        <v>14007</v>
      </c>
      <c r="D7428" s="14">
        <v>1</v>
      </c>
      <c r="E7428" s="15">
        <v>41.38</v>
      </c>
      <c r="F7428" s="16" t="s">
        <v>4214</v>
      </c>
      <c r="G7428" s="14"/>
    </row>
    <row r="7429" spans="2:7" ht="11.25" outlineLevel="4" x14ac:dyDescent="0.2">
      <c r="B7429" s="14" t="s">
        <v>14008</v>
      </c>
      <c r="C7429" s="14" t="s">
        <v>14009</v>
      </c>
      <c r="D7429" s="14">
        <v>1</v>
      </c>
      <c r="E7429" s="15">
        <v>24.97</v>
      </c>
      <c r="F7429" s="16" t="s">
        <v>4214</v>
      </c>
      <c r="G7429" s="38" t="str">
        <f>HYPERLINK("http://enext.ua/5021081")</f>
        <v>http://enext.ua/5021081</v>
      </c>
    </row>
    <row r="7430" spans="2:7" ht="11.25" outlineLevel="4" x14ac:dyDescent="0.2">
      <c r="B7430" s="14" t="s">
        <v>14010</v>
      </c>
      <c r="C7430" s="14" t="s">
        <v>14011</v>
      </c>
      <c r="D7430" s="14">
        <v>1</v>
      </c>
      <c r="E7430" s="15">
        <v>845.53</v>
      </c>
      <c r="F7430" s="16" t="s">
        <v>8</v>
      </c>
      <c r="G7430" s="38" t="str">
        <f>HYPERLINK("http://enext.ua/5408806")</f>
        <v>http://enext.ua/5408806</v>
      </c>
    </row>
    <row r="7431" spans="2:7" ht="11.25" outlineLevel="4" x14ac:dyDescent="0.2">
      <c r="B7431" s="14" t="s">
        <v>14012</v>
      </c>
      <c r="C7431" s="14" t="s">
        <v>14013</v>
      </c>
      <c r="D7431" s="14">
        <v>1</v>
      </c>
      <c r="E7431" s="15">
        <v>454.59</v>
      </c>
      <c r="F7431" s="16" t="s">
        <v>8</v>
      </c>
      <c r="G7431" s="14"/>
    </row>
    <row r="7432" spans="2:7" ht="11.25" outlineLevel="4" x14ac:dyDescent="0.2">
      <c r="B7432" s="14" t="s">
        <v>14014</v>
      </c>
      <c r="C7432" s="14" t="s">
        <v>14013</v>
      </c>
      <c r="D7432" s="14">
        <v>1</v>
      </c>
      <c r="E7432" s="15">
        <v>606.66999999999996</v>
      </c>
      <c r="F7432" s="16" t="s">
        <v>8</v>
      </c>
      <c r="G7432" s="14"/>
    </row>
    <row r="7433" spans="2:7" ht="11.25" outlineLevel="4" x14ac:dyDescent="0.2">
      <c r="B7433" s="14" t="s">
        <v>14015</v>
      </c>
      <c r="C7433" s="14" t="s">
        <v>14016</v>
      </c>
      <c r="D7433" s="14">
        <v>1</v>
      </c>
      <c r="E7433" s="15">
        <v>46.43</v>
      </c>
      <c r="F7433" s="16" t="s">
        <v>8</v>
      </c>
      <c r="G7433" s="38" t="str">
        <f>HYPERLINK("http://enext.ua/5405068")</f>
        <v>http://enext.ua/5405068</v>
      </c>
    </row>
    <row r="7434" spans="2:7" ht="11.25" outlineLevel="4" x14ac:dyDescent="0.2">
      <c r="B7434" s="14" t="s">
        <v>14017</v>
      </c>
      <c r="C7434" s="14" t="s">
        <v>14018</v>
      </c>
      <c r="D7434" s="14">
        <v>1</v>
      </c>
      <c r="E7434" s="15">
        <v>99.2</v>
      </c>
      <c r="F7434" s="16" t="s">
        <v>8</v>
      </c>
      <c r="G7434" s="14"/>
    </row>
    <row r="7435" spans="2:7" ht="11.25" outlineLevel="4" x14ac:dyDescent="0.2">
      <c r="B7435" s="14" t="s">
        <v>14019</v>
      </c>
      <c r="C7435" s="14" t="s">
        <v>14020</v>
      </c>
      <c r="D7435" s="14">
        <v>1</v>
      </c>
      <c r="E7435" s="15">
        <v>79.44</v>
      </c>
      <c r="F7435" s="16" t="s">
        <v>8</v>
      </c>
      <c r="G7435" s="38" t="str">
        <f>HYPERLINK("http://enext.ua/5217075")</f>
        <v>http://enext.ua/5217075</v>
      </c>
    </row>
    <row r="7436" spans="2:7" ht="11.25" outlineLevel="4" x14ac:dyDescent="0.2">
      <c r="B7436" s="14" t="s">
        <v>14021</v>
      </c>
      <c r="C7436" s="14" t="s">
        <v>14022</v>
      </c>
      <c r="D7436" s="14">
        <v>1</v>
      </c>
      <c r="E7436" s="15">
        <v>58.01</v>
      </c>
      <c r="F7436" s="16" t="s">
        <v>8</v>
      </c>
      <c r="G7436" s="14"/>
    </row>
    <row r="7437" spans="2:7" ht="11.25" outlineLevel="4" x14ac:dyDescent="0.2">
      <c r="B7437" s="14" t="s">
        <v>14023</v>
      </c>
      <c r="C7437" s="14" t="s">
        <v>14024</v>
      </c>
      <c r="D7437" s="14">
        <v>1</v>
      </c>
      <c r="E7437" s="15">
        <v>67.06</v>
      </c>
      <c r="F7437" s="16" t="s">
        <v>8</v>
      </c>
      <c r="G7437" s="38" t="str">
        <f>HYPERLINK("http://enext.ua/5412609")</f>
        <v>http://enext.ua/5412609</v>
      </c>
    </row>
    <row r="7438" spans="2:7" ht="11.25" outlineLevel="4" x14ac:dyDescent="0.2">
      <c r="B7438" s="14" t="s">
        <v>14025</v>
      </c>
      <c r="C7438" s="14" t="s">
        <v>14026</v>
      </c>
      <c r="D7438" s="14">
        <v>1</v>
      </c>
      <c r="E7438" s="15">
        <v>113.17</v>
      </c>
      <c r="F7438" s="16" t="s">
        <v>8</v>
      </c>
      <c r="G7438" s="14"/>
    </row>
    <row r="7439" spans="2:7" ht="11.25" outlineLevel="4" x14ac:dyDescent="0.2">
      <c r="B7439" s="14" t="s">
        <v>14027</v>
      </c>
      <c r="C7439" s="14" t="s">
        <v>14026</v>
      </c>
      <c r="D7439" s="14">
        <v>1</v>
      </c>
      <c r="E7439" s="15">
        <v>46.69</v>
      </c>
      <c r="F7439" s="16" t="s">
        <v>8</v>
      </c>
      <c r="G7439" s="38" t="str">
        <f>HYPERLINK("http://enext.ua/5207800")</f>
        <v>http://enext.ua/5207800</v>
      </c>
    </row>
    <row r="7440" spans="2:7" ht="11.25" outlineLevel="4" x14ac:dyDescent="0.2">
      <c r="B7440" s="14" t="s">
        <v>14028</v>
      </c>
      <c r="C7440" s="14" t="s">
        <v>14026</v>
      </c>
      <c r="D7440" s="14">
        <v>1</v>
      </c>
      <c r="E7440" s="15">
        <v>13.71</v>
      </c>
      <c r="F7440" s="16" t="s">
        <v>8</v>
      </c>
      <c r="G7440" s="14"/>
    </row>
    <row r="7441" spans="2:7" ht="11.25" outlineLevel="4" x14ac:dyDescent="0.2">
      <c r="B7441" s="14" t="s">
        <v>14029</v>
      </c>
      <c r="C7441" s="14" t="s">
        <v>14026</v>
      </c>
      <c r="D7441" s="14">
        <v>1</v>
      </c>
      <c r="E7441" s="15">
        <v>18.75</v>
      </c>
      <c r="F7441" s="16" t="s">
        <v>8</v>
      </c>
      <c r="G7441" s="14"/>
    </row>
    <row r="7442" spans="2:7" ht="11.25" outlineLevel="4" x14ac:dyDescent="0.2">
      <c r="B7442" s="14" t="s">
        <v>14030</v>
      </c>
      <c r="C7442" s="14" t="s">
        <v>14031</v>
      </c>
      <c r="D7442" s="14">
        <v>1</v>
      </c>
      <c r="E7442" s="15">
        <v>12.99</v>
      </c>
      <c r="F7442" s="16" t="s">
        <v>8</v>
      </c>
      <c r="G7442" s="14"/>
    </row>
    <row r="7443" spans="2:7" ht="11.25" outlineLevel="4" x14ac:dyDescent="0.2">
      <c r="B7443" s="14" t="s">
        <v>14032</v>
      </c>
      <c r="C7443" s="14" t="s">
        <v>14031</v>
      </c>
      <c r="D7443" s="14">
        <v>1</v>
      </c>
      <c r="E7443" s="15">
        <v>12.43</v>
      </c>
      <c r="F7443" s="16" t="s">
        <v>8</v>
      </c>
      <c r="G7443" s="38" t="str">
        <f>HYPERLINK("http://enext.ua/5207746")</f>
        <v>http://enext.ua/5207746</v>
      </c>
    </row>
    <row r="7444" spans="2:7" ht="11.25" outlineLevel="4" x14ac:dyDescent="0.2">
      <c r="B7444" s="14" t="s">
        <v>14033</v>
      </c>
      <c r="C7444" s="14" t="s">
        <v>14034</v>
      </c>
      <c r="D7444" s="14">
        <v>1</v>
      </c>
      <c r="E7444" s="15">
        <v>11.01</v>
      </c>
      <c r="F7444" s="16" t="s">
        <v>8</v>
      </c>
      <c r="G7444" s="38" t="str">
        <f>HYPERLINK("http://enext.ua/5207444")</f>
        <v>http://enext.ua/5207444</v>
      </c>
    </row>
    <row r="7445" spans="2:7" ht="11.25" outlineLevel="4" x14ac:dyDescent="0.2">
      <c r="B7445" s="14" t="s">
        <v>14035</v>
      </c>
      <c r="C7445" s="14" t="s">
        <v>14036</v>
      </c>
      <c r="D7445" s="14">
        <v>1</v>
      </c>
      <c r="E7445" s="15">
        <v>37.54</v>
      </c>
      <c r="F7445" s="16" t="s">
        <v>8</v>
      </c>
      <c r="G7445" s="38" t="str">
        <f>HYPERLINK("http://enext.ua/5207339")</f>
        <v>http://enext.ua/5207339</v>
      </c>
    </row>
    <row r="7446" spans="2:7" ht="11.25" outlineLevel="4" x14ac:dyDescent="0.2">
      <c r="B7446" s="14" t="s">
        <v>14037</v>
      </c>
      <c r="C7446" s="14" t="s">
        <v>14038</v>
      </c>
      <c r="D7446" s="14">
        <v>1</v>
      </c>
      <c r="E7446" s="15">
        <v>50.39</v>
      </c>
      <c r="F7446" s="16" t="s">
        <v>8</v>
      </c>
      <c r="G7446" s="38" t="str">
        <f>HYPERLINK("http://enext.ua/5229960")</f>
        <v>http://enext.ua/5229960</v>
      </c>
    </row>
    <row r="7447" spans="2:7" ht="11.25" outlineLevel="4" x14ac:dyDescent="0.2">
      <c r="B7447" s="14" t="s">
        <v>14039</v>
      </c>
      <c r="C7447" s="14" t="s">
        <v>14040</v>
      </c>
      <c r="D7447" s="14">
        <v>1</v>
      </c>
      <c r="E7447" s="15">
        <v>94.08</v>
      </c>
      <c r="F7447" s="16" t="s">
        <v>8</v>
      </c>
      <c r="G7447" s="38" t="str">
        <f>HYPERLINK("http://enext.ua/5215552")</f>
        <v>http://enext.ua/5215552</v>
      </c>
    </row>
    <row r="7448" spans="2:7" ht="11.25" outlineLevel="4" x14ac:dyDescent="0.2">
      <c r="B7448" s="14" t="s">
        <v>14041</v>
      </c>
      <c r="C7448" s="14" t="s">
        <v>14042</v>
      </c>
      <c r="D7448" s="14">
        <v>1</v>
      </c>
      <c r="E7448" s="15">
        <v>108.06</v>
      </c>
      <c r="F7448" s="16" t="s">
        <v>8</v>
      </c>
      <c r="G7448" s="14"/>
    </row>
    <row r="7449" spans="2:7" ht="11.25" outlineLevel="4" x14ac:dyDescent="0.2">
      <c r="B7449" s="14" t="s">
        <v>14043</v>
      </c>
      <c r="C7449" s="14" t="s">
        <v>14044</v>
      </c>
      <c r="D7449" s="14">
        <v>1</v>
      </c>
      <c r="E7449" s="15">
        <v>140.94</v>
      </c>
      <c r="F7449" s="16" t="s">
        <v>8</v>
      </c>
      <c r="G7449" s="14"/>
    </row>
    <row r="7450" spans="2:7" ht="11.25" outlineLevel="4" x14ac:dyDescent="0.2">
      <c r="B7450" s="14" t="s">
        <v>14045</v>
      </c>
      <c r="C7450" s="14" t="s">
        <v>14044</v>
      </c>
      <c r="D7450" s="14">
        <v>1</v>
      </c>
      <c r="E7450" s="15">
        <v>129.36000000000001</v>
      </c>
      <c r="F7450" s="16" t="s">
        <v>8</v>
      </c>
      <c r="G7450" s="38" t="str">
        <f>HYPERLINK("http://enext.ua/5317010")</f>
        <v>http://enext.ua/5317010</v>
      </c>
    </row>
    <row r="7451" spans="2:7" ht="11.25" outlineLevel="4" x14ac:dyDescent="0.2">
      <c r="B7451" s="14" t="s">
        <v>14046</v>
      </c>
      <c r="C7451" s="14" t="s">
        <v>14047</v>
      </c>
      <c r="D7451" s="14">
        <v>1</v>
      </c>
      <c r="E7451" s="15">
        <v>73.31</v>
      </c>
      <c r="F7451" s="16" t="s">
        <v>8</v>
      </c>
      <c r="G7451" s="38" t="str">
        <f>HYPERLINK("http://enext.ua/5350867")</f>
        <v>http://enext.ua/5350867</v>
      </c>
    </row>
    <row r="7452" spans="2:7" ht="11.25" outlineLevel="4" x14ac:dyDescent="0.2">
      <c r="B7452" s="14" t="s">
        <v>14048</v>
      </c>
      <c r="C7452" s="14" t="s">
        <v>14049</v>
      </c>
      <c r="D7452" s="14">
        <v>1</v>
      </c>
      <c r="E7452" s="15">
        <v>256.26</v>
      </c>
      <c r="F7452" s="16" t="s">
        <v>8</v>
      </c>
      <c r="G7452" s="14"/>
    </row>
    <row r="7453" spans="2:7" ht="11.25" outlineLevel="4" x14ac:dyDescent="0.2">
      <c r="B7453" s="14" t="s">
        <v>14050</v>
      </c>
      <c r="C7453" s="14" t="s">
        <v>14051</v>
      </c>
      <c r="D7453" s="14">
        <v>1</v>
      </c>
      <c r="E7453" s="15">
        <v>134.19999999999999</v>
      </c>
      <c r="F7453" s="16" t="s">
        <v>8</v>
      </c>
      <c r="G7453" s="38" t="str">
        <f>HYPERLINK("http://enext.ua/5350905")</f>
        <v>http://enext.ua/5350905</v>
      </c>
    </row>
    <row r="7454" spans="2:7" ht="11.25" outlineLevel="4" x14ac:dyDescent="0.2">
      <c r="B7454" s="14" t="s">
        <v>14052</v>
      </c>
      <c r="C7454" s="14" t="s">
        <v>14053</v>
      </c>
      <c r="D7454" s="14">
        <v>1</v>
      </c>
      <c r="E7454" s="15">
        <v>80.260000000000005</v>
      </c>
      <c r="F7454" s="16" t="s">
        <v>8</v>
      </c>
      <c r="G7454" s="14"/>
    </row>
    <row r="7455" spans="2:7" ht="11.25" outlineLevel="4" x14ac:dyDescent="0.2">
      <c r="B7455" s="14" t="s">
        <v>14054</v>
      </c>
      <c r="C7455" s="14" t="s">
        <v>14055</v>
      </c>
      <c r="D7455" s="14">
        <v>1</v>
      </c>
      <c r="E7455" s="15">
        <v>60.29</v>
      </c>
      <c r="F7455" s="16" t="s">
        <v>8</v>
      </c>
      <c r="G7455" s="38" t="str">
        <f>HYPERLINK("http://enext.ua/5311519")</f>
        <v>http://enext.ua/5311519</v>
      </c>
    </row>
    <row r="7456" spans="2:7" ht="11.25" outlineLevel="4" x14ac:dyDescent="0.2">
      <c r="B7456" s="14" t="s">
        <v>14056</v>
      </c>
      <c r="C7456" s="14" t="s">
        <v>14057</v>
      </c>
      <c r="D7456" s="14">
        <v>1</v>
      </c>
      <c r="E7456" s="15">
        <v>162.34</v>
      </c>
      <c r="F7456" s="16" t="s">
        <v>8</v>
      </c>
      <c r="G7456" s="38" t="str">
        <f>HYPERLINK("http://enext.ua/5311535")</f>
        <v>http://enext.ua/5311535</v>
      </c>
    </row>
    <row r="7457" spans="2:7" ht="11.25" outlineLevel="4" x14ac:dyDescent="0.2">
      <c r="B7457" s="14" t="s">
        <v>14058</v>
      </c>
      <c r="C7457" s="14" t="s">
        <v>14059</v>
      </c>
      <c r="D7457" s="14">
        <v>1</v>
      </c>
      <c r="E7457" s="15">
        <v>172.26</v>
      </c>
      <c r="F7457" s="16" t="s">
        <v>8</v>
      </c>
      <c r="G7457" s="38" t="str">
        <f>HYPERLINK("http://enext.ua/5311527")</f>
        <v>http://enext.ua/5311527</v>
      </c>
    </row>
    <row r="7458" spans="2:7" ht="11.25" outlineLevel="4" x14ac:dyDescent="0.2">
      <c r="B7458" s="14" t="s">
        <v>14060</v>
      </c>
      <c r="C7458" s="14" t="s">
        <v>14061</v>
      </c>
      <c r="D7458" s="14">
        <v>1</v>
      </c>
      <c r="E7458" s="15">
        <v>68.59</v>
      </c>
      <c r="F7458" s="16" t="s">
        <v>8</v>
      </c>
      <c r="G7458" s="38" t="str">
        <f>HYPERLINK("http://enext.ua/5311551")</f>
        <v>http://enext.ua/5311551</v>
      </c>
    </row>
    <row r="7459" spans="2:7" ht="11.25" outlineLevel="4" x14ac:dyDescent="0.2">
      <c r="B7459" s="14" t="s">
        <v>14062</v>
      </c>
      <c r="C7459" s="14" t="s">
        <v>14063</v>
      </c>
      <c r="D7459" s="14">
        <v>1</v>
      </c>
      <c r="E7459" s="15">
        <v>37.67</v>
      </c>
      <c r="F7459" s="16" t="s">
        <v>8</v>
      </c>
      <c r="G7459" s="38" t="str">
        <f>HYPERLINK("http://enext.ua/5311500")</f>
        <v>http://enext.ua/5311500</v>
      </c>
    </row>
    <row r="7460" spans="2:7" ht="12" outlineLevel="3" x14ac:dyDescent="0.2">
      <c r="B7460" s="10"/>
      <c r="C7460" s="36" t="s">
        <v>14064</v>
      </c>
      <c r="D7460" s="10"/>
      <c r="E7460" s="11"/>
      <c r="F7460" s="11"/>
      <c r="G7460" s="10"/>
    </row>
    <row r="7461" spans="2:7" ht="11.25" outlineLevel="4" x14ac:dyDescent="0.2">
      <c r="B7461" s="14" t="s">
        <v>14065</v>
      </c>
      <c r="C7461" s="14" t="s">
        <v>14066</v>
      </c>
      <c r="D7461" s="14">
        <v>1</v>
      </c>
      <c r="E7461" s="15">
        <v>37.4</v>
      </c>
      <c r="F7461" s="16" t="s">
        <v>4214</v>
      </c>
      <c r="G7461" s="14"/>
    </row>
    <row r="7462" spans="2:7" ht="11.25" outlineLevel="4" x14ac:dyDescent="0.2">
      <c r="B7462" s="14" t="s">
        <v>14067</v>
      </c>
      <c r="C7462" s="14" t="s">
        <v>14068</v>
      </c>
      <c r="D7462" s="14">
        <v>1</v>
      </c>
      <c r="E7462" s="15">
        <v>246.38</v>
      </c>
      <c r="F7462" s="16" t="s">
        <v>4214</v>
      </c>
      <c r="G7462" s="14"/>
    </row>
    <row r="7463" spans="2:7" ht="11.25" outlineLevel="4" x14ac:dyDescent="0.2">
      <c r="B7463" s="14" t="s">
        <v>14069</v>
      </c>
      <c r="C7463" s="14" t="s">
        <v>14070</v>
      </c>
      <c r="D7463" s="14">
        <v>1</v>
      </c>
      <c r="E7463" s="17">
        <v>4755.1000000000004</v>
      </c>
      <c r="F7463" s="16" t="s">
        <v>8</v>
      </c>
      <c r="G7463" s="14"/>
    </row>
    <row r="7464" spans="2:7" ht="11.25" outlineLevel="4" x14ac:dyDescent="0.2">
      <c r="B7464" s="14" t="s">
        <v>14071</v>
      </c>
      <c r="C7464" s="14" t="s">
        <v>14072</v>
      </c>
      <c r="D7464" s="14">
        <v>1</v>
      </c>
      <c r="E7464" s="17">
        <v>5752.41</v>
      </c>
      <c r="F7464" s="16" t="s">
        <v>8</v>
      </c>
      <c r="G7464" s="14"/>
    </row>
    <row r="7465" spans="2:7" ht="11.25" outlineLevel="4" x14ac:dyDescent="0.2">
      <c r="B7465" s="14" t="s">
        <v>14073</v>
      </c>
      <c r="C7465" s="14" t="s">
        <v>14074</v>
      </c>
      <c r="D7465" s="14">
        <v>1</v>
      </c>
      <c r="E7465" s="17">
        <v>6777.65</v>
      </c>
      <c r="F7465" s="16" t="s">
        <v>8</v>
      </c>
      <c r="G7465" s="14"/>
    </row>
    <row r="7466" spans="2:7" ht="11.25" outlineLevel="4" x14ac:dyDescent="0.2">
      <c r="B7466" s="14" t="s">
        <v>14075</v>
      </c>
      <c r="C7466" s="14" t="s">
        <v>14076</v>
      </c>
      <c r="D7466" s="14">
        <v>1</v>
      </c>
      <c r="E7466" s="17">
        <v>7870.05</v>
      </c>
      <c r="F7466" s="16" t="s">
        <v>8</v>
      </c>
      <c r="G7466" s="14"/>
    </row>
    <row r="7467" spans="2:7" ht="11.25" outlineLevel="4" x14ac:dyDescent="0.2">
      <c r="B7467" s="14" t="s">
        <v>14077</v>
      </c>
      <c r="C7467" s="14" t="s">
        <v>14078</v>
      </c>
      <c r="D7467" s="14">
        <v>1</v>
      </c>
      <c r="E7467" s="17">
        <v>11582</v>
      </c>
      <c r="F7467" s="16" t="s">
        <v>8</v>
      </c>
      <c r="G7467" s="14"/>
    </row>
    <row r="7468" spans="2:7" ht="11.25" outlineLevel="4" x14ac:dyDescent="0.2">
      <c r="B7468" s="14" t="s">
        <v>14079</v>
      </c>
      <c r="C7468" s="14" t="s">
        <v>14080</v>
      </c>
      <c r="D7468" s="14">
        <v>1</v>
      </c>
      <c r="E7468" s="17">
        <v>12283.92</v>
      </c>
      <c r="F7468" s="16" t="s">
        <v>8</v>
      </c>
      <c r="G7468" s="14"/>
    </row>
    <row r="7469" spans="2:7" ht="11.25" outlineLevel="4" x14ac:dyDescent="0.2">
      <c r="B7469" s="14" t="s">
        <v>14081</v>
      </c>
      <c r="C7469" s="14" t="s">
        <v>14082</v>
      </c>
      <c r="D7469" s="14">
        <v>1</v>
      </c>
      <c r="E7469" s="17">
        <v>16615.3</v>
      </c>
      <c r="F7469" s="16" t="s">
        <v>8</v>
      </c>
      <c r="G7469" s="14"/>
    </row>
    <row r="7470" spans="2:7" ht="11.25" outlineLevel="4" x14ac:dyDescent="0.2">
      <c r="B7470" s="14" t="s">
        <v>14083</v>
      </c>
      <c r="C7470" s="14" t="s">
        <v>14084</v>
      </c>
      <c r="D7470" s="14">
        <v>1</v>
      </c>
      <c r="E7470" s="17">
        <v>19302.150000000001</v>
      </c>
      <c r="F7470" s="16" t="s">
        <v>8</v>
      </c>
      <c r="G7470" s="14"/>
    </row>
    <row r="7471" spans="2:7" ht="11.25" outlineLevel="4" x14ac:dyDescent="0.2">
      <c r="B7471" s="14" t="s">
        <v>14085</v>
      </c>
      <c r="C7471" s="14" t="s">
        <v>14086</v>
      </c>
      <c r="D7471" s="14">
        <v>1</v>
      </c>
      <c r="E7471" s="17">
        <v>22226.55</v>
      </c>
      <c r="F7471" s="16" t="s">
        <v>8</v>
      </c>
      <c r="G7471" s="14"/>
    </row>
    <row r="7472" spans="2:7" ht="11.25" outlineLevel="4" x14ac:dyDescent="0.2">
      <c r="B7472" s="14" t="s">
        <v>14087</v>
      </c>
      <c r="C7472" s="14" t="s">
        <v>14088</v>
      </c>
      <c r="D7472" s="14">
        <v>1</v>
      </c>
      <c r="E7472" s="17">
        <v>23318.75</v>
      </c>
      <c r="F7472" s="16" t="s">
        <v>8</v>
      </c>
      <c r="G7472" s="14"/>
    </row>
    <row r="7473" spans="2:7" ht="11.25" outlineLevel="4" x14ac:dyDescent="0.2">
      <c r="B7473" s="14" t="s">
        <v>14089</v>
      </c>
      <c r="C7473" s="14" t="s">
        <v>14090</v>
      </c>
      <c r="D7473" s="14">
        <v>1</v>
      </c>
      <c r="E7473" s="17">
        <v>1130.8399999999999</v>
      </c>
      <c r="F7473" s="16" t="s">
        <v>8</v>
      </c>
      <c r="G7473" s="14"/>
    </row>
    <row r="7474" spans="2:7" ht="11.25" outlineLevel="4" x14ac:dyDescent="0.2">
      <c r="B7474" s="14" t="s">
        <v>14091</v>
      </c>
      <c r="C7474" s="14" t="s">
        <v>14092</v>
      </c>
      <c r="D7474" s="14">
        <v>1</v>
      </c>
      <c r="E7474" s="17">
        <v>1175.04</v>
      </c>
      <c r="F7474" s="16" t="s">
        <v>8</v>
      </c>
      <c r="G7474" s="14"/>
    </row>
    <row r="7475" spans="2:7" ht="11.25" outlineLevel="4" x14ac:dyDescent="0.2">
      <c r="B7475" s="14" t="s">
        <v>14093</v>
      </c>
      <c r="C7475" s="14" t="s">
        <v>14094</v>
      </c>
      <c r="D7475" s="14">
        <v>1</v>
      </c>
      <c r="E7475" s="15">
        <v>129.38</v>
      </c>
      <c r="F7475" s="16" t="s">
        <v>8</v>
      </c>
      <c r="G7475" s="14"/>
    </row>
    <row r="7476" spans="2:7" ht="11.25" outlineLevel="4" x14ac:dyDescent="0.2">
      <c r="B7476" s="14" t="s">
        <v>14095</v>
      </c>
      <c r="C7476" s="14" t="s">
        <v>14096</v>
      </c>
      <c r="D7476" s="14">
        <v>1</v>
      </c>
      <c r="E7476" s="15">
        <v>47.49</v>
      </c>
      <c r="F7476" s="16" t="s">
        <v>8</v>
      </c>
      <c r="G7476" s="14"/>
    </row>
    <row r="7477" spans="2:7" ht="11.25" outlineLevel="4" x14ac:dyDescent="0.2">
      <c r="B7477" s="14" t="s">
        <v>14097</v>
      </c>
      <c r="C7477" s="14" t="s">
        <v>14098</v>
      </c>
      <c r="D7477" s="14">
        <v>1</v>
      </c>
      <c r="E7477" s="15">
        <v>72.02</v>
      </c>
      <c r="F7477" s="16" t="s">
        <v>8</v>
      </c>
      <c r="G7477" s="14"/>
    </row>
    <row r="7478" spans="2:7" ht="11.25" outlineLevel="4" x14ac:dyDescent="0.2">
      <c r="B7478" s="14" t="s">
        <v>14099</v>
      </c>
      <c r="C7478" s="14" t="s">
        <v>14100</v>
      </c>
      <c r="D7478" s="14">
        <v>1</v>
      </c>
      <c r="E7478" s="15">
        <v>26.4</v>
      </c>
      <c r="F7478" s="16" t="s">
        <v>4214</v>
      </c>
      <c r="G7478" s="14"/>
    </row>
    <row r="7479" spans="2:7" ht="11.25" outlineLevel="4" x14ac:dyDescent="0.2">
      <c r="B7479" s="14" t="s">
        <v>14101</v>
      </c>
      <c r="C7479" s="14" t="s">
        <v>14102</v>
      </c>
      <c r="D7479" s="14">
        <v>1</v>
      </c>
      <c r="E7479" s="15">
        <v>26.4</v>
      </c>
      <c r="F7479" s="16" t="s">
        <v>4214</v>
      </c>
      <c r="G7479" s="14"/>
    </row>
    <row r="7480" spans="2:7" ht="11.25" outlineLevel="4" x14ac:dyDescent="0.2">
      <c r="B7480" s="14" t="s">
        <v>14103</v>
      </c>
      <c r="C7480" s="14" t="s">
        <v>14104</v>
      </c>
      <c r="D7480" s="14">
        <v>1</v>
      </c>
      <c r="E7480" s="15">
        <v>195.81</v>
      </c>
      <c r="F7480" s="16" t="s">
        <v>14105</v>
      </c>
      <c r="G7480" s="14"/>
    </row>
    <row r="7481" spans="2:7" ht="11.25" outlineLevel="4" x14ac:dyDescent="0.2">
      <c r="B7481" s="14" t="s">
        <v>14106</v>
      </c>
      <c r="C7481" s="14" t="s">
        <v>14107</v>
      </c>
      <c r="D7481" s="14">
        <v>1</v>
      </c>
      <c r="E7481" s="15">
        <v>246.38</v>
      </c>
      <c r="F7481" s="16" t="s">
        <v>4214</v>
      </c>
      <c r="G7481" s="14"/>
    </row>
    <row r="7482" spans="2:7" ht="11.25" outlineLevel="4" x14ac:dyDescent="0.2">
      <c r="B7482" s="14" t="s">
        <v>14108</v>
      </c>
      <c r="C7482" s="14" t="s">
        <v>14109</v>
      </c>
      <c r="D7482" s="14">
        <v>1</v>
      </c>
      <c r="E7482" s="15">
        <v>42.25</v>
      </c>
      <c r="F7482" s="16" t="s">
        <v>8</v>
      </c>
      <c r="G7482" s="14"/>
    </row>
    <row r="7483" spans="2:7" ht="11.25" outlineLevel="4" x14ac:dyDescent="0.2">
      <c r="B7483" s="14" t="s">
        <v>14110</v>
      </c>
      <c r="C7483" s="14" t="s">
        <v>14111</v>
      </c>
      <c r="D7483" s="14">
        <v>1</v>
      </c>
      <c r="E7483" s="15">
        <v>124.84</v>
      </c>
      <c r="F7483" s="16" t="s">
        <v>8</v>
      </c>
      <c r="G7483" s="14"/>
    </row>
    <row r="7484" spans="2:7" ht="11.25" outlineLevel="4" x14ac:dyDescent="0.2">
      <c r="B7484" s="14" t="s">
        <v>14112</v>
      </c>
      <c r="C7484" s="14" t="s">
        <v>14113</v>
      </c>
      <c r="D7484" s="14">
        <v>1</v>
      </c>
      <c r="E7484" s="15">
        <v>118.88</v>
      </c>
      <c r="F7484" s="16" t="s">
        <v>8</v>
      </c>
      <c r="G7484" s="14"/>
    </row>
    <row r="7485" spans="2:7" ht="11.25" outlineLevel="4" x14ac:dyDescent="0.2">
      <c r="B7485" s="14" t="s">
        <v>14114</v>
      </c>
      <c r="C7485" s="14" t="s">
        <v>14115</v>
      </c>
      <c r="D7485" s="14">
        <v>1</v>
      </c>
      <c r="E7485" s="15">
        <v>71.209999999999994</v>
      </c>
      <c r="F7485" s="16" t="s">
        <v>8</v>
      </c>
      <c r="G7485" s="14"/>
    </row>
    <row r="7486" spans="2:7" ht="11.25" outlineLevel="4" x14ac:dyDescent="0.2">
      <c r="B7486" s="14" t="s">
        <v>14116</v>
      </c>
      <c r="C7486" s="14" t="s">
        <v>14117</v>
      </c>
      <c r="D7486" s="14">
        <v>1</v>
      </c>
      <c r="E7486" s="15">
        <v>571.47</v>
      </c>
      <c r="F7486" s="16" t="s">
        <v>8</v>
      </c>
      <c r="G7486" s="14"/>
    </row>
    <row r="7487" spans="2:7" ht="11.25" outlineLevel="4" x14ac:dyDescent="0.2">
      <c r="B7487" s="14" t="s">
        <v>14118</v>
      </c>
      <c r="C7487" s="14" t="s">
        <v>14119</v>
      </c>
      <c r="D7487" s="14">
        <v>1</v>
      </c>
      <c r="E7487" s="17">
        <v>1695.98</v>
      </c>
      <c r="F7487" s="16" t="s">
        <v>8</v>
      </c>
      <c r="G7487" s="14"/>
    </row>
    <row r="7488" spans="2:7" ht="11.25" outlineLevel="4" x14ac:dyDescent="0.2">
      <c r="B7488" s="14" t="s">
        <v>14120</v>
      </c>
      <c r="C7488" s="14" t="s">
        <v>14121</v>
      </c>
      <c r="D7488" s="14">
        <v>1</v>
      </c>
      <c r="E7488" s="17">
        <v>2445.8200000000002</v>
      </c>
      <c r="F7488" s="16" t="s">
        <v>8</v>
      </c>
      <c r="G7488" s="14"/>
    </row>
    <row r="7489" spans="2:7" ht="11.25" outlineLevel="4" x14ac:dyDescent="0.2">
      <c r="B7489" s="14" t="s">
        <v>14122</v>
      </c>
      <c r="C7489" s="14" t="s">
        <v>14123</v>
      </c>
      <c r="D7489" s="14">
        <v>1</v>
      </c>
      <c r="E7489" s="15">
        <v>96.27</v>
      </c>
      <c r="F7489" s="16" t="s">
        <v>8</v>
      </c>
      <c r="G7489" s="14"/>
    </row>
    <row r="7490" spans="2:7" ht="11.25" outlineLevel="4" x14ac:dyDescent="0.2">
      <c r="B7490" s="14" t="s">
        <v>14124</v>
      </c>
      <c r="C7490" s="14" t="s">
        <v>14125</v>
      </c>
      <c r="D7490" s="14">
        <v>1</v>
      </c>
      <c r="E7490" s="15">
        <v>107.27</v>
      </c>
      <c r="F7490" s="16" t="s">
        <v>8</v>
      </c>
      <c r="G7490" s="14"/>
    </row>
    <row r="7491" spans="2:7" ht="12" outlineLevel="2" x14ac:dyDescent="0.2">
      <c r="B7491" s="8"/>
      <c r="C7491" s="35" t="s">
        <v>14126</v>
      </c>
      <c r="D7491" s="8"/>
      <c r="E7491" s="9"/>
      <c r="F7491" s="9"/>
      <c r="G7491" s="8"/>
    </row>
    <row r="7492" spans="2:7" ht="12" outlineLevel="3" x14ac:dyDescent="0.2">
      <c r="B7492" s="10"/>
      <c r="C7492" s="36" t="s">
        <v>14127</v>
      </c>
      <c r="D7492" s="10"/>
      <c r="E7492" s="11"/>
      <c r="F7492" s="11"/>
      <c r="G7492" s="10"/>
    </row>
    <row r="7493" spans="2:7" ht="11.25" outlineLevel="4" x14ac:dyDescent="0.2">
      <c r="B7493" s="14" t="s">
        <v>14128</v>
      </c>
      <c r="C7493" s="14" t="s">
        <v>14129</v>
      </c>
      <c r="D7493" s="14">
        <v>1</v>
      </c>
      <c r="E7493" s="15">
        <v>36.89</v>
      </c>
      <c r="F7493" s="16" t="s">
        <v>8</v>
      </c>
      <c r="G7493" s="38" t="str">
        <f>HYPERLINK("http://enext.ua/3041212")</f>
        <v>http://enext.ua/3041212</v>
      </c>
    </row>
    <row r="7494" spans="2:7" ht="11.25" outlineLevel="4" x14ac:dyDescent="0.2">
      <c r="B7494" s="14" t="s">
        <v>14130</v>
      </c>
      <c r="C7494" s="14" t="s">
        <v>14131</v>
      </c>
      <c r="D7494" s="14">
        <v>1</v>
      </c>
      <c r="E7494" s="15">
        <v>134.6</v>
      </c>
      <c r="F7494" s="16" t="s">
        <v>8</v>
      </c>
      <c r="G7494" s="38" t="str">
        <f>HYPERLINK("http://enext.ua/5057523")</f>
        <v>http://enext.ua/5057523</v>
      </c>
    </row>
    <row r="7495" spans="2:7" ht="11.25" outlineLevel="4" x14ac:dyDescent="0.2">
      <c r="B7495" s="14" t="s">
        <v>14132</v>
      </c>
      <c r="C7495" s="14" t="s">
        <v>14133</v>
      </c>
      <c r="D7495" s="14">
        <v>1</v>
      </c>
      <c r="E7495" s="15">
        <v>39.15</v>
      </c>
      <c r="F7495" s="16" t="s">
        <v>8</v>
      </c>
      <c r="G7495" s="14"/>
    </row>
    <row r="7496" spans="2:7" ht="11.25" outlineLevel="4" x14ac:dyDescent="0.2">
      <c r="B7496" s="14" t="s">
        <v>14134</v>
      </c>
      <c r="C7496" s="14" t="s">
        <v>14135</v>
      </c>
      <c r="D7496" s="14">
        <v>1</v>
      </c>
      <c r="E7496" s="15">
        <v>111.92</v>
      </c>
      <c r="F7496" s="16" t="s">
        <v>8</v>
      </c>
      <c r="G7496" s="38" t="str">
        <f>HYPERLINK("http://enext.ua/5313015")</f>
        <v>http://enext.ua/5313015</v>
      </c>
    </row>
    <row r="7497" spans="2:7" ht="11.25" outlineLevel="4" x14ac:dyDescent="0.2">
      <c r="B7497" s="14" t="s">
        <v>14136</v>
      </c>
      <c r="C7497" s="14" t="s">
        <v>14137</v>
      </c>
      <c r="D7497" s="14">
        <v>1</v>
      </c>
      <c r="E7497" s="15">
        <v>103.11</v>
      </c>
      <c r="F7497" s="16" t="s">
        <v>8</v>
      </c>
      <c r="G7497" s="38" t="str">
        <f>HYPERLINK("http://enext.ua/5001641")</f>
        <v>http://enext.ua/5001641</v>
      </c>
    </row>
    <row r="7498" spans="2:7" ht="11.25" outlineLevel="4" x14ac:dyDescent="0.2">
      <c r="B7498" s="14" t="s">
        <v>14138</v>
      </c>
      <c r="C7498" s="14" t="s">
        <v>14139</v>
      </c>
      <c r="D7498" s="14">
        <v>1</v>
      </c>
      <c r="E7498" s="15">
        <v>116.77</v>
      </c>
      <c r="F7498" s="16" t="s">
        <v>8</v>
      </c>
      <c r="G7498" s="38" t="str">
        <f>HYPERLINK("http://enext.ua/5314658")</f>
        <v>http://enext.ua/5314658</v>
      </c>
    </row>
    <row r="7499" spans="2:7" ht="11.25" outlineLevel="4" x14ac:dyDescent="0.2">
      <c r="B7499" s="14" t="s">
        <v>14140</v>
      </c>
      <c r="C7499" s="14" t="s">
        <v>14141</v>
      </c>
      <c r="D7499" s="14">
        <v>1</v>
      </c>
      <c r="E7499" s="15">
        <v>148.99</v>
      </c>
      <c r="F7499" s="16" t="s">
        <v>8</v>
      </c>
      <c r="G7499" s="38" t="str">
        <f>HYPERLINK("http://enext.ua/5314666")</f>
        <v>http://enext.ua/5314666</v>
      </c>
    </row>
    <row r="7500" spans="2:7" ht="11.25" outlineLevel="4" x14ac:dyDescent="0.2">
      <c r="B7500" s="14" t="s">
        <v>14142</v>
      </c>
      <c r="C7500" s="14" t="s">
        <v>14143</v>
      </c>
      <c r="D7500" s="14">
        <v>1</v>
      </c>
      <c r="E7500" s="15">
        <v>74.69</v>
      </c>
      <c r="F7500" s="16" t="s">
        <v>8</v>
      </c>
      <c r="G7500" s="14"/>
    </row>
    <row r="7501" spans="2:7" ht="11.25" outlineLevel="4" x14ac:dyDescent="0.2">
      <c r="B7501" s="14" t="s">
        <v>14144</v>
      </c>
      <c r="C7501" s="14" t="s">
        <v>14145</v>
      </c>
      <c r="D7501" s="14">
        <v>1</v>
      </c>
      <c r="E7501" s="15">
        <v>36.89</v>
      </c>
      <c r="F7501" s="16" t="s">
        <v>8</v>
      </c>
      <c r="G7501" s="14"/>
    </row>
    <row r="7502" spans="2:7" ht="11.25" outlineLevel="4" x14ac:dyDescent="0.2">
      <c r="B7502" s="14" t="s">
        <v>14146</v>
      </c>
      <c r="C7502" s="14" t="s">
        <v>14147</v>
      </c>
      <c r="D7502" s="14">
        <v>1</v>
      </c>
      <c r="E7502" s="15">
        <v>51.96</v>
      </c>
      <c r="F7502" s="16" t="s">
        <v>4214</v>
      </c>
      <c r="G7502" s="38" t="str">
        <f>HYPERLINK("http://enext.ua/5019345")</f>
        <v>http://enext.ua/5019345</v>
      </c>
    </row>
    <row r="7503" spans="2:7" ht="11.25" outlineLevel="4" x14ac:dyDescent="0.2">
      <c r="B7503" s="14" t="s">
        <v>14148</v>
      </c>
      <c r="C7503" s="14" t="s">
        <v>14149</v>
      </c>
      <c r="D7503" s="14">
        <v>1</v>
      </c>
      <c r="E7503" s="15">
        <v>83.93</v>
      </c>
      <c r="F7503" s="16" t="s">
        <v>4214</v>
      </c>
      <c r="G7503" s="38" t="str">
        <f>HYPERLINK("http://enext.ua/5019355")</f>
        <v>http://enext.ua/5019355</v>
      </c>
    </row>
    <row r="7504" spans="2:7" ht="11.25" outlineLevel="4" x14ac:dyDescent="0.2">
      <c r="B7504" s="14" t="s">
        <v>14150</v>
      </c>
      <c r="C7504" s="14" t="s">
        <v>14151</v>
      </c>
      <c r="D7504" s="14">
        <v>1</v>
      </c>
      <c r="E7504" s="15">
        <v>50.91</v>
      </c>
      <c r="F7504" s="16" t="s">
        <v>8</v>
      </c>
      <c r="G7504" s="38" t="str">
        <f>HYPERLINK("http://enext.ua/5032032")</f>
        <v>http://enext.ua/5032032</v>
      </c>
    </row>
    <row r="7505" spans="2:7" ht="11.25" outlineLevel="4" x14ac:dyDescent="0.2">
      <c r="B7505" s="14" t="s">
        <v>14152</v>
      </c>
      <c r="C7505" s="14" t="s">
        <v>14153</v>
      </c>
      <c r="D7505" s="14">
        <v>1</v>
      </c>
      <c r="E7505" s="15">
        <v>251.05</v>
      </c>
      <c r="F7505" s="16" t="s">
        <v>8</v>
      </c>
      <c r="G7505" s="38" t="str">
        <f>HYPERLINK("http://enext.ua/2360055")</f>
        <v>http://enext.ua/2360055</v>
      </c>
    </row>
    <row r="7506" spans="2:7" ht="11.25" outlineLevel="4" x14ac:dyDescent="0.2">
      <c r="B7506" s="14" t="s">
        <v>14154</v>
      </c>
      <c r="C7506" s="14" t="s">
        <v>14155</v>
      </c>
      <c r="D7506" s="14">
        <v>1</v>
      </c>
      <c r="E7506" s="15">
        <v>79.05</v>
      </c>
      <c r="F7506" s="16" t="s">
        <v>4214</v>
      </c>
      <c r="G7506" s="14"/>
    </row>
    <row r="7507" spans="2:7" ht="11.25" outlineLevel="4" x14ac:dyDescent="0.2">
      <c r="B7507" s="14" t="s">
        <v>14156</v>
      </c>
      <c r="C7507" s="14" t="s">
        <v>14157</v>
      </c>
      <c r="D7507" s="14">
        <v>1</v>
      </c>
      <c r="E7507" s="15">
        <v>56.84</v>
      </c>
      <c r="F7507" s="16" t="s">
        <v>8</v>
      </c>
      <c r="G7507" s="38" t="str">
        <f>HYPERLINK("http://enext.ua/5032040")</f>
        <v>http://enext.ua/5032040</v>
      </c>
    </row>
    <row r="7508" spans="2:7" ht="11.25" outlineLevel="4" x14ac:dyDescent="0.2">
      <c r="B7508" s="14" t="s">
        <v>14158</v>
      </c>
      <c r="C7508" s="14" t="s">
        <v>14159</v>
      </c>
      <c r="D7508" s="14">
        <v>1</v>
      </c>
      <c r="E7508" s="15">
        <v>79.239999999999995</v>
      </c>
      <c r="F7508" s="16" t="s">
        <v>8</v>
      </c>
      <c r="G7508" s="14"/>
    </row>
    <row r="7509" spans="2:7" ht="11.25" outlineLevel="4" x14ac:dyDescent="0.2">
      <c r="B7509" s="14" t="s">
        <v>14160</v>
      </c>
      <c r="C7509" s="14" t="s">
        <v>14161</v>
      </c>
      <c r="D7509" s="14">
        <v>1</v>
      </c>
      <c r="E7509" s="17">
        <v>7800.53</v>
      </c>
      <c r="F7509" s="16" t="s">
        <v>8</v>
      </c>
      <c r="G7509" s="38" t="str">
        <f>HYPERLINK("http://enext.ua/3044904")</f>
        <v>http://enext.ua/3044904</v>
      </c>
    </row>
    <row r="7510" spans="2:7" ht="11.25" outlineLevel="4" x14ac:dyDescent="0.2">
      <c r="B7510" s="14" t="s">
        <v>14162</v>
      </c>
      <c r="C7510" s="14" t="s">
        <v>14163</v>
      </c>
      <c r="D7510" s="14">
        <v>1</v>
      </c>
      <c r="E7510" s="15">
        <v>767.8</v>
      </c>
      <c r="F7510" s="16" t="s">
        <v>8</v>
      </c>
      <c r="G7510" s="38" t="str">
        <f>HYPERLINK("http://enext.ua/3042200")</f>
        <v>http://enext.ua/3042200</v>
      </c>
    </row>
    <row r="7511" spans="2:7" ht="11.25" outlineLevel="4" x14ac:dyDescent="0.2">
      <c r="B7511" s="14" t="s">
        <v>14164</v>
      </c>
      <c r="C7511" s="14" t="s">
        <v>14165</v>
      </c>
      <c r="D7511" s="14">
        <v>1</v>
      </c>
      <c r="E7511" s="15">
        <v>64.069999999999993</v>
      </c>
      <c r="F7511" s="16" t="s">
        <v>8</v>
      </c>
      <c r="G7511" s="14"/>
    </row>
    <row r="7512" spans="2:7" ht="11.25" outlineLevel="4" x14ac:dyDescent="0.2">
      <c r="B7512" s="14" t="s">
        <v>14166</v>
      </c>
      <c r="C7512" s="14" t="s">
        <v>14165</v>
      </c>
      <c r="D7512" s="14">
        <v>1</v>
      </c>
      <c r="E7512" s="15">
        <v>84.95</v>
      </c>
      <c r="F7512" s="16" t="s">
        <v>8</v>
      </c>
      <c r="G7512" s="14"/>
    </row>
    <row r="7513" spans="2:7" ht="11.25" outlineLevel="4" x14ac:dyDescent="0.2">
      <c r="B7513" s="14" t="s">
        <v>14167</v>
      </c>
      <c r="C7513" s="14" t="s">
        <v>14165</v>
      </c>
      <c r="D7513" s="14">
        <v>1</v>
      </c>
      <c r="E7513" s="15">
        <v>61.73</v>
      </c>
      <c r="F7513" s="16" t="s">
        <v>8</v>
      </c>
      <c r="G7513" s="14"/>
    </row>
    <row r="7514" spans="2:7" ht="11.25" outlineLevel="4" x14ac:dyDescent="0.2">
      <c r="B7514" s="14" t="s">
        <v>14168</v>
      </c>
      <c r="C7514" s="14" t="s">
        <v>14165</v>
      </c>
      <c r="D7514" s="14">
        <v>1</v>
      </c>
      <c r="E7514" s="15">
        <v>113.23</v>
      </c>
      <c r="F7514" s="16" t="s">
        <v>8</v>
      </c>
      <c r="G7514" s="14"/>
    </row>
    <row r="7515" spans="2:7" ht="11.25" outlineLevel="4" x14ac:dyDescent="0.2">
      <c r="B7515" s="14" t="s">
        <v>14169</v>
      </c>
      <c r="C7515" s="14" t="s">
        <v>14165</v>
      </c>
      <c r="D7515" s="14">
        <v>1</v>
      </c>
      <c r="E7515" s="15">
        <v>63.39</v>
      </c>
      <c r="F7515" s="16" t="s">
        <v>8</v>
      </c>
      <c r="G7515" s="14"/>
    </row>
    <row r="7516" spans="2:7" ht="11.25" outlineLevel="4" x14ac:dyDescent="0.2">
      <c r="B7516" s="14" t="s">
        <v>14170</v>
      </c>
      <c r="C7516" s="14" t="s">
        <v>14165</v>
      </c>
      <c r="D7516" s="14">
        <v>1</v>
      </c>
      <c r="E7516" s="15">
        <v>60.87</v>
      </c>
      <c r="F7516" s="16" t="s">
        <v>8</v>
      </c>
      <c r="G7516" s="14"/>
    </row>
    <row r="7517" spans="2:7" ht="11.25" outlineLevel="4" x14ac:dyDescent="0.2">
      <c r="B7517" s="14" t="s">
        <v>14171</v>
      </c>
      <c r="C7517" s="14" t="s">
        <v>14172</v>
      </c>
      <c r="D7517" s="14">
        <v>1</v>
      </c>
      <c r="E7517" s="15">
        <v>627.79</v>
      </c>
      <c r="F7517" s="16" t="s">
        <v>8</v>
      </c>
      <c r="G7517" s="38" t="str">
        <f>HYPERLINK("http://enext.ua/5015650")</f>
        <v>http://enext.ua/5015650</v>
      </c>
    </row>
    <row r="7518" spans="2:7" ht="11.25" outlineLevel="4" x14ac:dyDescent="0.2">
      <c r="B7518" s="14" t="s">
        <v>14173</v>
      </c>
      <c r="C7518" s="14" t="s">
        <v>14174</v>
      </c>
      <c r="D7518" s="14">
        <v>1</v>
      </c>
      <c r="E7518" s="15">
        <v>340.27</v>
      </c>
      <c r="F7518" s="16" t="s">
        <v>8</v>
      </c>
      <c r="G7518" s="38" t="str">
        <f>HYPERLINK("http://enext.ua/5015111")</f>
        <v>http://enext.ua/5015111</v>
      </c>
    </row>
    <row r="7519" spans="2:7" ht="11.25" outlineLevel="4" x14ac:dyDescent="0.2">
      <c r="B7519" s="14" t="s">
        <v>14175</v>
      </c>
      <c r="C7519" s="14" t="s">
        <v>14176</v>
      </c>
      <c r="D7519" s="14">
        <v>1</v>
      </c>
      <c r="E7519" s="15">
        <v>277.60000000000002</v>
      </c>
      <c r="F7519" s="16" t="s">
        <v>8</v>
      </c>
      <c r="G7519" s="38" t="str">
        <f>HYPERLINK("http://enext.ua/5015073")</f>
        <v>http://enext.ua/5015073</v>
      </c>
    </row>
    <row r="7520" spans="2:7" ht="11.25" outlineLevel="4" x14ac:dyDescent="0.2">
      <c r="B7520" s="14" t="s">
        <v>14177</v>
      </c>
      <c r="C7520" s="14" t="s">
        <v>14178</v>
      </c>
      <c r="D7520" s="14">
        <v>1</v>
      </c>
      <c r="E7520" s="15">
        <v>762.23</v>
      </c>
      <c r="F7520" s="16" t="s">
        <v>8</v>
      </c>
      <c r="G7520" s="38" t="str">
        <f>HYPERLINK("http://enext.ua/5015081")</f>
        <v>http://enext.ua/5015081</v>
      </c>
    </row>
    <row r="7521" spans="2:7" ht="11.25" outlineLevel="4" x14ac:dyDescent="0.2">
      <c r="B7521" s="14" t="s">
        <v>14179</v>
      </c>
      <c r="C7521" s="14" t="s">
        <v>14180</v>
      </c>
      <c r="D7521" s="14">
        <v>1</v>
      </c>
      <c r="E7521" s="15">
        <v>567.91</v>
      </c>
      <c r="F7521" s="16" t="s">
        <v>8</v>
      </c>
      <c r="G7521" s="38" t="str">
        <f>HYPERLINK("http://enext.ua/5015545")</f>
        <v>http://enext.ua/5015545</v>
      </c>
    </row>
    <row r="7522" spans="2:7" ht="11.25" outlineLevel="4" x14ac:dyDescent="0.2">
      <c r="B7522" s="14" t="s">
        <v>14181</v>
      </c>
      <c r="C7522" s="14" t="s">
        <v>14182</v>
      </c>
      <c r="D7522" s="14">
        <v>1</v>
      </c>
      <c r="E7522" s="15">
        <v>389.44</v>
      </c>
      <c r="F7522" s="16" t="s">
        <v>8</v>
      </c>
      <c r="G7522" s="38" t="str">
        <f>HYPERLINK("http://enext.ua/5000750")</f>
        <v>http://enext.ua/5000750</v>
      </c>
    </row>
    <row r="7523" spans="2:7" ht="12" outlineLevel="3" x14ac:dyDescent="0.2">
      <c r="B7523" s="10"/>
      <c r="C7523" s="36" t="s">
        <v>14183</v>
      </c>
      <c r="D7523" s="10"/>
      <c r="E7523" s="11"/>
      <c r="F7523" s="11"/>
      <c r="G7523" s="10"/>
    </row>
    <row r="7524" spans="2:7" ht="12" outlineLevel="4" x14ac:dyDescent="0.2">
      <c r="B7524" s="12"/>
      <c r="C7524" s="37" t="s">
        <v>14184</v>
      </c>
      <c r="D7524" s="12"/>
      <c r="E7524" s="13"/>
      <c r="F7524" s="13"/>
      <c r="G7524" s="12"/>
    </row>
    <row r="7525" spans="2:7" ht="11.25" outlineLevel="5" x14ac:dyDescent="0.2">
      <c r="B7525" s="14" t="s">
        <v>14185</v>
      </c>
      <c r="C7525" s="14" t="s">
        <v>14186</v>
      </c>
      <c r="D7525" s="14">
        <v>1</v>
      </c>
      <c r="E7525" s="15">
        <v>383.4</v>
      </c>
      <c r="F7525" s="16" t="s">
        <v>8</v>
      </c>
      <c r="G7525" s="14"/>
    </row>
    <row r="7526" spans="2:7" ht="11.25" outlineLevel="5" x14ac:dyDescent="0.2">
      <c r="B7526" s="14" t="s">
        <v>14187</v>
      </c>
      <c r="C7526" s="14" t="s">
        <v>14188</v>
      </c>
      <c r="D7526" s="14">
        <v>1</v>
      </c>
      <c r="E7526" s="15">
        <v>16.670000000000002</v>
      </c>
      <c r="F7526" s="16" t="s">
        <v>8</v>
      </c>
      <c r="G7526" s="14"/>
    </row>
    <row r="7527" spans="2:7" ht="11.25" outlineLevel="5" x14ac:dyDescent="0.2">
      <c r="B7527" s="14" t="s">
        <v>14189</v>
      </c>
      <c r="C7527" s="14" t="s">
        <v>14190</v>
      </c>
      <c r="D7527" s="14">
        <v>1</v>
      </c>
      <c r="E7527" s="15">
        <v>16.670000000000002</v>
      </c>
      <c r="F7527" s="16" t="s">
        <v>8</v>
      </c>
      <c r="G7527" s="14"/>
    </row>
    <row r="7528" spans="2:7" ht="11.25" outlineLevel="5" x14ac:dyDescent="0.2">
      <c r="B7528" s="14" t="s">
        <v>14191</v>
      </c>
      <c r="C7528" s="14" t="s">
        <v>14192</v>
      </c>
      <c r="D7528" s="14">
        <v>1</v>
      </c>
      <c r="E7528" s="15">
        <v>100.25</v>
      </c>
      <c r="F7528" s="16" t="s">
        <v>8</v>
      </c>
      <c r="G7528" s="14"/>
    </row>
    <row r="7529" spans="2:7" ht="11.25" outlineLevel="5" x14ac:dyDescent="0.2">
      <c r="B7529" s="14" t="s">
        <v>14193</v>
      </c>
      <c r="C7529" s="14" t="s">
        <v>14194</v>
      </c>
      <c r="D7529" s="14">
        <v>1</v>
      </c>
      <c r="E7529" s="15">
        <v>130.21</v>
      </c>
      <c r="F7529" s="16" t="s">
        <v>8</v>
      </c>
      <c r="G7529" s="14"/>
    </row>
    <row r="7530" spans="2:7" ht="11.25" outlineLevel="5" x14ac:dyDescent="0.2">
      <c r="B7530" s="14" t="s">
        <v>14195</v>
      </c>
      <c r="C7530" s="14" t="s">
        <v>14196</v>
      </c>
      <c r="D7530" s="14">
        <v>1</v>
      </c>
      <c r="E7530" s="15">
        <v>96.23</v>
      </c>
      <c r="F7530" s="16" t="s">
        <v>8</v>
      </c>
      <c r="G7530" s="14"/>
    </row>
    <row r="7531" spans="2:7" ht="11.25" outlineLevel="5" x14ac:dyDescent="0.2">
      <c r="B7531" s="14" t="s">
        <v>14197</v>
      </c>
      <c r="C7531" s="14" t="s">
        <v>14198</v>
      </c>
      <c r="D7531" s="14">
        <v>1</v>
      </c>
      <c r="E7531" s="15">
        <v>105.39</v>
      </c>
      <c r="F7531" s="16" t="s">
        <v>8</v>
      </c>
      <c r="G7531" s="14"/>
    </row>
    <row r="7532" spans="2:7" ht="11.25" outlineLevel="5" x14ac:dyDescent="0.2">
      <c r="B7532" s="14" t="s">
        <v>14199</v>
      </c>
      <c r="C7532" s="14" t="s">
        <v>14200</v>
      </c>
      <c r="D7532" s="14">
        <v>1</v>
      </c>
      <c r="E7532" s="15">
        <v>33.33</v>
      </c>
      <c r="F7532" s="16" t="s">
        <v>8</v>
      </c>
      <c r="G7532" s="14"/>
    </row>
    <row r="7533" spans="2:7" ht="11.25" outlineLevel="5" x14ac:dyDescent="0.2">
      <c r="B7533" s="14" t="s">
        <v>14201</v>
      </c>
      <c r="C7533" s="14" t="s">
        <v>14202</v>
      </c>
      <c r="D7533" s="14">
        <v>1</v>
      </c>
      <c r="E7533" s="15">
        <v>76</v>
      </c>
      <c r="F7533" s="16" t="s">
        <v>8</v>
      </c>
      <c r="G7533" s="14"/>
    </row>
    <row r="7534" spans="2:7" ht="11.25" outlineLevel="5" x14ac:dyDescent="0.2">
      <c r="B7534" s="14" t="s">
        <v>14203</v>
      </c>
      <c r="C7534" s="14" t="s">
        <v>14204</v>
      </c>
      <c r="D7534" s="14">
        <v>1</v>
      </c>
      <c r="E7534" s="15">
        <v>106.03</v>
      </c>
      <c r="F7534" s="16" t="s">
        <v>8</v>
      </c>
      <c r="G7534" s="14"/>
    </row>
    <row r="7535" spans="2:7" ht="11.25" outlineLevel="5" x14ac:dyDescent="0.2">
      <c r="B7535" s="14" t="s">
        <v>14205</v>
      </c>
      <c r="C7535" s="14" t="s">
        <v>14206</v>
      </c>
      <c r="D7535" s="14">
        <v>1</v>
      </c>
      <c r="E7535" s="15">
        <v>54.84</v>
      </c>
      <c r="F7535" s="16" t="s">
        <v>8</v>
      </c>
      <c r="G7535" s="14"/>
    </row>
    <row r="7536" spans="2:7" ht="11.25" outlineLevel="5" x14ac:dyDescent="0.2">
      <c r="B7536" s="14" t="s">
        <v>14207</v>
      </c>
      <c r="C7536" s="14" t="s">
        <v>14208</v>
      </c>
      <c r="D7536" s="14">
        <v>1</v>
      </c>
      <c r="E7536" s="15">
        <v>82.04</v>
      </c>
      <c r="F7536" s="16" t="s">
        <v>8</v>
      </c>
      <c r="G7536" s="14"/>
    </row>
    <row r="7537" spans="2:7" ht="11.25" outlineLevel="5" x14ac:dyDescent="0.2">
      <c r="B7537" s="14" t="s">
        <v>14209</v>
      </c>
      <c r="C7537" s="14" t="s">
        <v>14210</v>
      </c>
      <c r="D7537" s="14">
        <v>1</v>
      </c>
      <c r="E7537" s="17">
        <v>1971.14</v>
      </c>
      <c r="F7537" s="16" t="s">
        <v>8</v>
      </c>
      <c r="G7537" s="14"/>
    </row>
    <row r="7538" spans="2:7" ht="11.25" outlineLevel="5" x14ac:dyDescent="0.2">
      <c r="B7538" s="14" t="s">
        <v>14211</v>
      </c>
      <c r="C7538" s="14" t="s">
        <v>14212</v>
      </c>
      <c r="D7538" s="14">
        <v>1</v>
      </c>
      <c r="E7538" s="15">
        <v>765.93</v>
      </c>
      <c r="F7538" s="16" t="s">
        <v>8</v>
      </c>
      <c r="G7538" s="14"/>
    </row>
    <row r="7539" spans="2:7" ht="11.25" outlineLevel="5" x14ac:dyDescent="0.2">
      <c r="B7539" s="14" t="s">
        <v>14213</v>
      </c>
      <c r="C7539" s="14" t="s">
        <v>14214</v>
      </c>
      <c r="D7539" s="14">
        <v>1</v>
      </c>
      <c r="E7539" s="15">
        <v>110.89</v>
      </c>
      <c r="F7539" s="16" t="s">
        <v>4214</v>
      </c>
      <c r="G7539" s="14"/>
    </row>
    <row r="7540" spans="2:7" ht="11.25" outlineLevel="5" x14ac:dyDescent="0.2">
      <c r="B7540" s="14" t="s">
        <v>14215</v>
      </c>
      <c r="C7540" s="14" t="s">
        <v>14216</v>
      </c>
      <c r="D7540" s="14">
        <v>1</v>
      </c>
      <c r="E7540" s="15">
        <v>312.17</v>
      </c>
      <c r="F7540" s="16" t="s">
        <v>8</v>
      </c>
      <c r="G7540" s="14"/>
    </row>
    <row r="7541" spans="2:7" ht="11.25" outlineLevel="5" x14ac:dyDescent="0.2">
      <c r="B7541" s="14" t="s">
        <v>14217</v>
      </c>
      <c r="C7541" s="14" t="s">
        <v>14218</v>
      </c>
      <c r="D7541" s="14">
        <v>1</v>
      </c>
      <c r="E7541" s="15">
        <v>266.67</v>
      </c>
      <c r="F7541" s="16" t="s">
        <v>8</v>
      </c>
      <c r="G7541" s="14"/>
    </row>
    <row r="7542" spans="2:7" ht="11.25" outlineLevel="5" x14ac:dyDescent="0.2">
      <c r="B7542" s="14" t="s">
        <v>14219</v>
      </c>
      <c r="C7542" s="14" t="s">
        <v>14220</v>
      </c>
      <c r="D7542" s="14">
        <v>1</v>
      </c>
      <c r="E7542" s="15">
        <v>312.17</v>
      </c>
      <c r="F7542" s="16" t="s">
        <v>8</v>
      </c>
      <c r="G7542" s="14"/>
    </row>
    <row r="7543" spans="2:7" ht="11.25" outlineLevel="5" x14ac:dyDescent="0.2">
      <c r="B7543" s="14" t="s">
        <v>14221</v>
      </c>
      <c r="C7543" s="14" t="s">
        <v>14222</v>
      </c>
      <c r="D7543" s="14">
        <v>1</v>
      </c>
      <c r="E7543" s="15">
        <v>61.02</v>
      </c>
      <c r="F7543" s="16" t="s">
        <v>8</v>
      </c>
      <c r="G7543" s="14"/>
    </row>
    <row r="7544" spans="2:7" ht="11.25" outlineLevel="5" x14ac:dyDescent="0.2">
      <c r="B7544" s="14" t="s">
        <v>14223</v>
      </c>
      <c r="C7544" s="14" t="s">
        <v>14224</v>
      </c>
      <c r="D7544" s="14">
        <v>1</v>
      </c>
      <c r="E7544" s="15">
        <v>61.41</v>
      </c>
      <c r="F7544" s="16" t="s">
        <v>8</v>
      </c>
      <c r="G7544" s="14"/>
    </row>
    <row r="7545" spans="2:7" ht="11.25" outlineLevel="5" x14ac:dyDescent="0.2">
      <c r="B7545" s="14" t="s">
        <v>14225</v>
      </c>
      <c r="C7545" s="14" t="s">
        <v>14226</v>
      </c>
      <c r="D7545" s="14">
        <v>1</v>
      </c>
      <c r="E7545" s="17">
        <v>1213.96</v>
      </c>
      <c r="F7545" s="16" t="s">
        <v>8</v>
      </c>
      <c r="G7545" s="14"/>
    </row>
    <row r="7546" spans="2:7" ht="12" outlineLevel="1" x14ac:dyDescent="0.2">
      <c r="B7546" s="6"/>
      <c r="C7546" s="34" t="s">
        <v>14227</v>
      </c>
      <c r="D7546" s="6"/>
      <c r="E7546" s="7"/>
      <c r="F7546" s="7"/>
      <c r="G7546" s="6"/>
    </row>
    <row r="7547" spans="2:7" ht="12" outlineLevel="2" x14ac:dyDescent="0.2">
      <c r="B7547" s="8"/>
      <c r="C7547" s="35" t="s">
        <v>14228</v>
      </c>
      <c r="D7547" s="8"/>
      <c r="E7547" s="9"/>
      <c r="F7547" s="9"/>
      <c r="G7547" s="8"/>
    </row>
    <row r="7548" spans="2:7" ht="11.25" outlineLevel="3" x14ac:dyDescent="0.2">
      <c r="B7548" s="14" t="s">
        <v>14229</v>
      </c>
      <c r="C7548" s="14" t="s">
        <v>14230</v>
      </c>
      <c r="D7548" s="14">
        <v>1</v>
      </c>
      <c r="E7548" s="15">
        <v>600</v>
      </c>
      <c r="F7548" s="16" t="s">
        <v>8</v>
      </c>
      <c r="G7548" s="14"/>
    </row>
    <row r="7549" spans="2:7" ht="11.25" outlineLevel="3" x14ac:dyDescent="0.2">
      <c r="B7549" s="14" t="s">
        <v>14231</v>
      </c>
      <c r="C7549" s="14" t="s">
        <v>14232</v>
      </c>
      <c r="D7549" s="14">
        <v>1</v>
      </c>
      <c r="E7549" s="15">
        <v>372.22</v>
      </c>
      <c r="F7549" s="16" t="s">
        <v>8</v>
      </c>
      <c r="G7549" s="38" t="str">
        <f>HYPERLINK("http://enext.ua/nik3467")</f>
        <v>http://enext.ua/nik3467</v>
      </c>
    </row>
    <row r="7550" spans="2:7" ht="11.25" outlineLevel="3" x14ac:dyDescent="0.2">
      <c r="B7550" s="14" t="s">
        <v>14233</v>
      </c>
      <c r="C7550" s="14" t="s">
        <v>14234</v>
      </c>
      <c r="D7550" s="14">
        <v>1</v>
      </c>
      <c r="E7550" s="17">
        <v>12990</v>
      </c>
      <c r="F7550" s="16" t="s">
        <v>8</v>
      </c>
      <c r="G7550" s="14"/>
    </row>
    <row r="7551" spans="2:7" ht="11.25" outlineLevel="3" x14ac:dyDescent="0.2">
      <c r="B7551" s="14" t="s">
        <v>14235</v>
      </c>
      <c r="C7551" s="14" t="s">
        <v>14236</v>
      </c>
      <c r="D7551" s="14">
        <v>1</v>
      </c>
      <c r="E7551" s="17">
        <v>3189.41</v>
      </c>
      <c r="F7551" s="16" t="s">
        <v>8</v>
      </c>
      <c r="G7551" s="14"/>
    </row>
    <row r="7552" spans="2:7" ht="11.25" outlineLevel="3" x14ac:dyDescent="0.2">
      <c r="B7552" s="14" t="s">
        <v>14237</v>
      </c>
      <c r="C7552" s="14" t="s">
        <v>14238</v>
      </c>
      <c r="D7552" s="14">
        <v>1</v>
      </c>
      <c r="E7552" s="15">
        <v>153.88999999999999</v>
      </c>
      <c r="F7552" s="16" t="s">
        <v>8</v>
      </c>
      <c r="G7552" s="14"/>
    </row>
    <row r="7553" spans="2:7" ht="11.25" outlineLevel="3" x14ac:dyDescent="0.2">
      <c r="B7553" s="14" t="s">
        <v>14239</v>
      </c>
      <c r="C7553" s="14" t="s">
        <v>14240</v>
      </c>
      <c r="D7553" s="14">
        <v>1</v>
      </c>
      <c r="E7553" s="15">
        <v>270</v>
      </c>
      <c r="F7553" s="16" t="s">
        <v>8</v>
      </c>
      <c r="G7553" s="14"/>
    </row>
    <row r="7554" spans="2:7" ht="11.25" outlineLevel="3" x14ac:dyDescent="0.2">
      <c r="B7554" s="14" t="s">
        <v>14241</v>
      </c>
      <c r="C7554" s="14" t="s">
        <v>14242</v>
      </c>
      <c r="D7554" s="14">
        <v>1</v>
      </c>
      <c r="E7554" s="15">
        <v>150</v>
      </c>
      <c r="F7554" s="16" t="s">
        <v>8</v>
      </c>
      <c r="G7554" s="14"/>
    </row>
    <row r="7555" spans="2:7" ht="11.25" outlineLevel="3" x14ac:dyDescent="0.2">
      <c r="B7555" s="14" t="s">
        <v>14243</v>
      </c>
      <c r="C7555" s="14" t="s">
        <v>14244</v>
      </c>
      <c r="D7555" s="14">
        <v>1</v>
      </c>
      <c r="E7555" s="15">
        <v>165</v>
      </c>
      <c r="F7555" s="16" t="s">
        <v>8</v>
      </c>
      <c r="G7555" s="14"/>
    </row>
    <row r="7556" spans="2:7" ht="12" outlineLevel="2" x14ac:dyDescent="0.2">
      <c r="B7556" s="8"/>
      <c r="C7556" s="35" t="s">
        <v>14245</v>
      </c>
      <c r="D7556" s="8"/>
      <c r="E7556" s="9"/>
      <c r="F7556" s="9"/>
      <c r="G7556" s="8"/>
    </row>
    <row r="7557" spans="2:7" ht="22.5" outlineLevel="3" x14ac:dyDescent="0.2">
      <c r="B7557" s="14" t="s">
        <v>14246</v>
      </c>
      <c r="C7557" s="14" t="s">
        <v>14247</v>
      </c>
      <c r="D7557" s="14">
        <v>1</v>
      </c>
      <c r="E7557" s="15">
        <v>199.57</v>
      </c>
      <c r="F7557" s="16" t="s">
        <v>8</v>
      </c>
      <c r="G7557" s="38" t="str">
        <f>HYPERLINK("http://enext.ua/s066003")</f>
        <v>http://enext.ua/s066003</v>
      </c>
    </row>
    <row r="7558" spans="2:7" ht="11.25" outlineLevel="3" x14ac:dyDescent="0.2">
      <c r="B7558" s="14" t="s">
        <v>14248</v>
      </c>
      <c r="C7558" s="14" t="s">
        <v>14249</v>
      </c>
      <c r="D7558" s="14">
        <v>1</v>
      </c>
      <c r="E7558" s="15">
        <v>207</v>
      </c>
      <c r="F7558" s="16" t="s">
        <v>8</v>
      </c>
      <c r="G7558" s="38" t="str">
        <f>HYPERLINK("http://enext.ua/s066002")</f>
        <v>http://enext.ua/s066002</v>
      </c>
    </row>
    <row r="7559" spans="2:7" ht="11.25" outlineLevel="3" x14ac:dyDescent="0.2">
      <c r="B7559" s="14" t="s">
        <v>14250</v>
      </c>
      <c r="C7559" s="14" t="s">
        <v>14251</v>
      </c>
      <c r="D7559" s="14">
        <v>1</v>
      </c>
      <c r="E7559" s="15">
        <v>10.4</v>
      </c>
      <c r="F7559" s="16" t="s">
        <v>8</v>
      </c>
      <c r="G7559" s="14"/>
    </row>
    <row r="7560" spans="2:7" ht="11.25" outlineLevel="3" x14ac:dyDescent="0.2">
      <c r="B7560" s="14" t="s">
        <v>14252</v>
      </c>
      <c r="C7560" s="14" t="s">
        <v>14253</v>
      </c>
      <c r="D7560" s="14">
        <v>1</v>
      </c>
      <c r="E7560" s="15">
        <v>10.4</v>
      </c>
      <c r="F7560" s="16" t="s">
        <v>8</v>
      </c>
      <c r="G7560" s="38" t="str">
        <f>HYPERLINK("http://enext.ua/s066008")</f>
        <v>http://enext.ua/s066008</v>
      </c>
    </row>
    <row r="7561" spans="2:7" ht="11.25" outlineLevel="3" x14ac:dyDescent="0.2">
      <c r="B7561" s="14" t="s">
        <v>14254</v>
      </c>
      <c r="C7561" s="14" t="s">
        <v>14255</v>
      </c>
      <c r="D7561" s="14">
        <v>1</v>
      </c>
      <c r="E7561" s="15">
        <v>10.4</v>
      </c>
      <c r="F7561" s="16" t="s">
        <v>8</v>
      </c>
      <c r="G7561" s="38" t="str">
        <f>HYPERLINK("http://enext.ua/s066009")</f>
        <v>http://enext.ua/s066009</v>
      </c>
    </row>
    <row r="7562" spans="2:7" ht="11.25" outlineLevel="3" x14ac:dyDescent="0.2">
      <c r="B7562" s="14" t="s">
        <v>14256</v>
      </c>
      <c r="C7562" s="14" t="s">
        <v>14257</v>
      </c>
      <c r="D7562" s="14">
        <v>1</v>
      </c>
      <c r="E7562" s="15">
        <v>10.4</v>
      </c>
      <c r="F7562" s="16" t="s">
        <v>8</v>
      </c>
      <c r="G7562" s="38" t="str">
        <f>HYPERLINK("http://enext.ua/s066004")</f>
        <v>http://enext.ua/s066004</v>
      </c>
    </row>
    <row r="7563" spans="2:7" ht="11.25" outlineLevel="3" x14ac:dyDescent="0.2">
      <c r="B7563" s="14" t="s">
        <v>14258</v>
      </c>
      <c r="C7563" s="14" t="s">
        <v>14259</v>
      </c>
      <c r="D7563" s="14">
        <v>1</v>
      </c>
      <c r="E7563" s="15">
        <v>10.4</v>
      </c>
      <c r="F7563" s="16" t="s">
        <v>8</v>
      </c>
      <c r="G7563" s="38" t="str">
        <f>HYPERLINK("http://enext.ua/s066005")</f>
        <v>http://enext.ua/s066005</v>
      </c>
    </row>
    <row r="7564" spans="2:7" ht="11.25" outlineLevel="3" x14ac:dyDescent="0.2">
      <c r="B7564" s="14" t="s">
        <v>14260</v>
      </c>
      <c r="C7564" s="14" t="s">
        <v>14261</v>
      </c>
      <c r="D7564" s="14">
        <v>1</v>
      </c>
      <c r="E7564" s="15">
        <v>10.4</v>
      </c>
      <c r="F7564" s="16" t="s">
        <v>8</v>
      </c>
      <c r="G7564" s="38" t="str">
        <f>HYPERLINK("http://enext.ua/s066006")</f>
        <v>http://enext.ua/s066006</v>
      </c>
    </row>
    <row r="7565" spans="2:7" ht="11.25" outlineLevel="3" x14ac:dyDescent="0.2">
      <c r="B7565" s="14" t="s">
        <v>14262</v>
      </c>
      <c r="C7565" s="14" t="s">
        <v>14263</v>
      </c>
      <c r="D7565" s="14">
        <v>1</v>
      </c>
      <c r="E7565" s="15">
        <v>10.4</v>
      </c>
      <c r="F7565" s="16" t="s">
        <v>8</v>
      </c>
      <c r="G7565" s="14"/>
    </row>
    <row r="7566" spans="2:7" ht="11.25" outlineLevel="3" x14ac:dyDescent="0.2">
      <c r="B7566" s="14" t="s">
        <v>14264</v>
      </c>
      <c r="C7566" s="14" t="s">
        <v>14265</v>
      </c>
      <c r="D7566" s="14">
        <v>1</v>
      </c>
      <c r="E7566" s="15">
        <v>10.4</v>
      </c>
      <c r="F7566" s="16" t="s">
        <v>8</v>
      </c>
      <c r="G7566" s="38" t="str">
        <f>HYPERLINK("http://enext.ua/s066007")</f>
        <v>http://enext.ua/s066007</v>
      </c>
    </row>
    <row r="7567" spans="2:7" ht="11.25" outlineLevel="3" x14ac:dyDescent="0.2">
      <c r="B7567" s="14" t="s">
        <v>14266</v>
      </c>
      <c r="C7567" s="14" t="s">
        <v>14267</v>
      </c>
      <c r="D7567" s="14">
        <v>1</v>
      </c>
      <c r="E7567" s="15">
        <v>220.92</v>
      </c>
      <c r="F7567" s="16" t="s">
        <v>8</v>
      </c>
      <c r="G7567" s="38" t="str">
        <f>HYPERLINK("http://enext.ua/s066001")</f>
        <v>http://enext.ua/s066001</v>
      </c>
    </row>
    <row r="7568" spans="2:7" ht="22.5" outlineLevel="3" x14ac:dyDescent="0.2">
      <c r="B7568" s="14" t="s">
        <v>14268</v>
      </c>
      <c r="C7568" s="14" t="s">
        <v>14269</v>
      </c>
      <c r="D7568" s="14">
        <v>1</v>
      </c>
      <c r="E7568" s="17">
        <v>1690</v>
      </c>
      <c r="F7568" s="16" t="s">
        <v>8</v>
      </c>
      <c r="G7568" s="38" t="str">
        <f>HYPERLINK("http://enext.ua/s065003")</f>
        <v>http://enext.ua/s065003</v>
      </c>
    </row>
    <row r="7569" spans="2:7" ht="22.5" outlineLevel="3" x14ac:dyDescent="0.2">
      <c r="B7569" s="14" t="s">
        <v>14270</v>
      </c>
      <c r="C7569" s="14" t="s">
        <v>14271</v>
      </c>
      <c r="D7569" s="14">
        <v>1</v>
      </c>
      <c r="E7569" s="17">
        <v>3388.94</v>
      </c>
      <c r="F7569" s="16" t="s">
        <v>8</v>
      </c>
      <c r="G7569" s="38" t="str">
        <f>HYPERLINK("http://enext.ua/s065004")</f>
        <v>http://enext.ua/s065004</v>
      </c>
    </row>
    <row r="7570" spans="2:7" ht="11.25" outlineLevel="3" x14ac:dyDescent="0.2">
      <c r="B7570" s="14" t="s">
        <v>14272</v>
      </c>
      <c r="C7570" s="14" t="s">
        <v>14273</v>
      </c>
      <c r="D7570" s="14">
        <v>1</v>
      </c>
      <c r="E7570" s="17">
        <v>1172.49</v>
      </c>
      <c r="F7570" s="16" t="s">
        <v>8</v>
      </c>
      <c r="G7570" s="38" t="str">
        <f>HYPERLINK("http://enext.ua/s065001")</f>
        <v>http://enext.ua/s065001</v>
      </c>
    </row>
    <row r="7571" spans="2:7" ht="11.25" outlineLevel="3" x14ac:dyDescent="0.2">
      <c r="B7571" s="14" t="s">
        <v>14274</v>
      </c>
      <c r="C7571" s="14" t="s">
        <v>14275</v>
      </c>
      <c r="D7571" s="14">
        <v>1</v>
      </c>
      <c r="E7571" s="17">
        <v>1228.8399999999999</v>
      </c>
      <c r="F7571" s="16" t="s">
        <v>8</v>
      </c>
      <c r="G7571" s="38" t="str">
        <f>HYPERLINK("http://enext.ua/s065002")</f>
        <v>http://enext.ua/s065002</v>
      </c>
    </row>
    <row r="7572" spans="2:7" ht="12" outlineLevel="2" x14ac:dyDescent="0.2">
      <c r="B7572" s="8"/>
      <c r="C7572" s="35" t="s">
        <v>14276</v>
      </c>
      <c r="D7572" s="8"/>
      <c r="E7572" s="9"/>
      <c r="F7572" s="9"/>
      <c r="G7572" s="8"/>
    </row>
    <row r="7573" spans="2:7" ht="11.25" outlineLevel="3" x14ac:dyDescent="0.2">
      <c r="B7573" s="14" t="s">
        <v>14277</v>
      </c>
      <c r="C7573" s="14" t="s">
        <v>14278</v>
      </c>
      <c r="D7573" s="14">
        <v>1</v>
      </c>
      <c r="E7573" s="17">
        <v>2644.44</v>
      </c>
      <c r="F7573" s="16" t="s">
        <v>8</v>
      </c>
      <c r="G7573" s="14"/>
    </row>
    <row r="7574" spans="2:7" ht="11.25" outlineLevel="3" x14ac:dyDescent="0.2">
      <c r="B7574" s="14" t="s">
        <v>14279</v>
      </c>
      <c r="C7574" s="14" t="s">
        <v>14280</v>
      </c>
      <c r="D7574" s="14">
        <v>1</v>
      </c>
      <c r="E7574" s="17">
        <v>2475</v>
      </c>
      <c r="F7574" s="16" t="s">
        <v>8</v>
      </c>
      <c r="G7574" s="14"/>
    </row>
    <row r="7575" spans="2:7" ht="11.25" outlineLevel="3" x14ac:dyDescent="0.2">
      <c r="B7575" s="14" t="s">
        <v>14281</v>
      </c>
      <c r="C7575" s="14" t="s">
        <v>14282</v>
      </c>
      <c r="D7575" s="14">
        <v>1</v>
      </c>
      <c r="E7575" s="17">
        <v>2640</v>
      </c>
      <c r="F7575" s="16" t="s">
        <v>8</v>
      </c>
      <c r="G7575" s="14"/>
    </row>
    <row r="7576" spans="2:7" ht="11.25" outlineLevel="3" x14ac:dyDescent="0.2">
      <c r="B7576" s="14" t="s">
        <v>14283</v>
      </c>
      <c r="C7576" s="14" t="s">
        <v>14284</v>
      </c>
      <c r="D7576" s="14">
        <v>1</v>
      </c>
      <c r="E7576" s="17">
        <v>2888.89</v>
      </c>
      <c r="F7576" s="16" t="s">
        <v>8</v>
      </c>
      <c r="G7576" s="14"/>
    </row>
    <row r="7577" spans="2:7" ht="11.25" outlineLevel="3" x14ac:dyDescent="0.2">
      <c r="B7577" s="14" t="s">
        <v>14285</v>
      </c>
      <c r="C7577" s="14" t="s">
        <v>14286</v>
      </c>
      <c r="D7577" s="14">
        <v>1</v>
      </c>
      <c r="E7577" s="17">
        <v>2888.89</v>
      </c>
      <c r="F7577" s="16" t="s">
        <v>8</v>
      </c>
      <c r="G7577" s="14"/>
    </row>
    <row r="7578" spans="2:7" ht="11.25" outlineLevel="3" x14ac:dyDescent="0.2">
      <c r="B7578" s="14" t="s">
        <v>14287</v>
      </c>
      <c r="C7578" s="14" t="s">
        <v>14288</v>
      </c>
      <c r="D7578" s="14">
        <v>1</v>
      </c>
      <c r="E7578" s="17">
        <v>1893.33</v>
      </c>
      <c r="F7578" s="16" t="s">
        <v>8</v>
      </c>
      <c r="G7578" s="14"/>
    </row>
    <row r="7579" spans="2:7" ht="11.25" outlineLevel="3" x14ac:dyDescent="0.2">
      <c r="B7579" s="14" t="s">
        <v>14289</v>
      </c>
      <c r="C7579" s="14" t="s">
        <v>14290</v>
      </c>
      <c r="D7579" s="14">
        <v>1</v>
      </c>
      <c r="E7579" s="17">
        <v>2475</v>
      </c>
      <c r="F7579" s="16" t="s">
        <v>8</v>
      </c>
      <c r="G7579" s="14"/>
    </row>
    <row r="7580" spans="2:7" ht="11.25" outlineLevel="3" x14ac:dyDescent="0.2">
      <c r="B7580" s="14" t="s">
        <v>14291</v>
      </c>
      <c r="C7580" s="14" t="s">
        <v>14292</v>
      </c>
      <c r="D7580" s="14">
        <v>1</v>
      </c>
      <c r="E7580" s="17">
        <v>2640</v>
      </c>
      <c r="F7580" s="16" t="s">
        <v>8</v>
      </c>
      <c r="G7580" s="14"/>
    </row>
    <row r="7581" spans="2:7" ht="11.25" outlineLevel="3" x14ac:dyDescent="0.2">
      <c r="B7581" s="14" t="s">
        <v>14293</v>
      </c>
      <c r="C7581" s="14" t="s">
        <v>14294</v>
      </c>
      <c r="D7581" s="14">
        <v>1</v>
      </c>
      <c r="E7581" s="17">
        <v>2640</v>
      </c>
      <c r="F7581" s="16" t="s">
        <v>8</v>
      </c>
      <c r="G7581" s="14"/>
    </row>
    <row r="7582" spans="2:7" ht="11.25" outlineLevel="3" x14ac:dyDescent="0.2">
      <c r="B7582" s="14" t="s">
        <v>14295</v>
      </c>
      <c r="C7582" s="14" t="s">
        <v>14296</v>
      </c>
      <c r="D7582" s="14">
        <v>1</v>
      </c>
      <c r="E7582" s="17">
        <v>2970</v>
      </c>
      <c r="F7582" s="16" t="s">
        <v>8</v>
      </c>
      <c r="G7582" s="14"/>
    </row>
    <row r="7583" spans="2:7" ht="22.5" outlineLevel="3" x14ac:dyDescent="0.2">
      <c r="B7583" s="14" t="s">
        <v>14297</v>
      </c>
      <c r="C7583" s="14" t="s">
        <v>14298</v>
      </c>
      <c r="D7583" s="14">
        <v>1</v>
      </c>
      <c r="E7583" s="17">
        <v>2640</v>
      </c>
      <c r="F7583" s="16" t="s">
        <v>8</v>
      </c>
      <c r="G7583" s="38" t="str">
        <f>HYPERLINK("http://enext.ua/nik2985")</f>
        <v>http://enext.ua/nik2985</v>
      </c>
    </row>
    <row r="7584" spans="2:7" ht="22.5" outlineLevel="3" x14ac:dyDescent="0.2">
      <c r="B7584" s="14" t="s">
        <v>14299</v>
      </c>
      <c r="C7584" s="14" t="s">
        <v>14300</v>
      </c>
      <c r="D7584" s="14">
        <v>1</v>
      </c>
      <c r="E7584" s="17">
        <v>2790</v>
      </c>
      <c r="F7584" s="16" t="s">
        <v>8</v>
      </c>
      <c r="G7584" s="38" t="str">
        <f>HYPERLINK("http://enext.ua/nik6693")</f>
        <v>http://enext.ua/nik6693</v>
      </c>
    </row>
    <row r="7585" spans="2:7" ht="11.25" outlineLevel="3" x14ac:dyDescent="0.2">
      <c r="B7585" s="14" t="s">
        <v>14301</v>
      </c>
      <c r="C7585" s="14" t="s">
        <v>14302</v>
      </c>
      <c r="D7585" s="14">
        <v>1</v>
      </c>
      <c r="E7585" s="17">
        <v>3120</v>
      </c>
      <c r="F7585" s="16" t="s">
        <v>8</v>
      </c>
      <c r="G7585" s="38" t="str">
        <f>HYPERLINK("http://enext.ua/nik3767")</f>
        <v>http://enext.ua/nik3767</v>
      </c>
    </row>
    <row r="7586" spans="2:7" ht="22.5" outlineLevel="3" x14ac:dyDescent="0.2">
      <c r="B7586" s="14" t="s">
        <v>14303</v>
      </c>
      <c r="C7586" s="14" t="s">
        <v>14304</v>
      </c>
      <c r="D7586" s="14">
        <v>1</v>
      </c>
      <c r="E7586" s="17">
        <v>2640</v>
      </c>
      <c r="F7586" s="16" t="s">
        <v>8</v>
      </c>
      <c r="G7586" s="38" t="str">
        <f>HYPERLINK("http://enext.ua/nik2890")</f>
        <v>http://enext.ua/nik2890</v>
      </c>
    </row>
    <row r="7587" spans="2:7" ht="22.5" outlineLevel="3" x14ac:dyDescent="0.2">
      <c r="B7587" s="14" t="s">
        <v>14305</v>
      </c>
      <c r="C7587" s="14" t="s">
        <v>14306</v>
      </c>
      <c r="D7587" s="14">
        <v>1</v>
      </c>
      <c r="E7587" s="17">
        <v>2790</v>
      </c>
      <c r="F7587" s="16" t="s">
        <v>8</v>
      </c>
      <c r="G7587" s="38" t="str">
        <f>HYPERLINK("http://enext.ua/nik6692")</f>
        <v>http://enext.ua/nik6692</v>
      </c>
    </row>
    <row r="7588" spans="2:7" ht="22.5" outlineLevel="3" x14ac:dyDescent="0.2">
      <c r="B7588" s="14" t="s">
        <v>14307</v>
      </c>
      <c r="C7588" s="14" t="s">
        <v>14308</v>
      </c>
      <c r="D7588" s="14">
        <v>1</v>
      </c>
      <c r="E7588" s="17">
        <v>3120</v>
      </c>
      <c r="F7588" s="16" t="s">
        <v>8</v>
      </c>
      <c r="G7588" s="38" t="str">
        <f>HYPERLINK("http://enext.ua/nik3782")</f>
        <v>http://enext.ua/nik3782</v>
      </c>
    </row>
    <row r="7589" spans="2:7" ht="22.5" outlineLevel="3" x14ac:dyDescent="0.2">
      <c r="B7589" s="14" t="s">
        <v>14309</v>
      </c>
      <c r="C7589" s="14" t="s">
        <v>14310</v>
      </c>
      <c r="D7589" s="14">
        <v>1</v>
      </c>
      <c r="E7589" s="17">
        <v>3270</v>
      </c>
      <c r="F7589" s="16" t="s">
        <v>8</v>
      </c>
      <c r="G7589" s="38" t="str">
        <f>HYPERLINK("http://enext.ua/nik8450")</f>
        <v>http://enext.ua/nik8450</v>
      </c>
    </row>
    <row r="7590" spans="2:7" ht="22.5" outlineLevel="3" x14ac:dyDescent="0.2">
      <c r="B7590" s="14" t="s">
        <v>14311</v>
      </c>
      <c r="C7590" s="14" t="s">
        <v>14312</v>
      </c>
      <c r="D7590" s="14">
        <v>1</v>
      </c>
      <c r="E7590" s="17">
        <v>3360</v>
      </c>
      <c r="F7590" s="16" t="s">
        <v>8</v>
      </c>
      <c r="G7590" s="38" t="str">
        <f>HYPERLINK("http://enext.ua/nik3565")</f>
        <v>http://enext.ua/nik3565</v>
      </c>
    </row>
    <row r="7591" spans="2:7" ht="22.5" outlineLevel="3" x14ac:dyDescent="0.2">
      <c r="B7591" s="14" t="s">
        <v>14313</v>
      </c>
      <c r="C7591" s="14" t="s">
        <v>14314</v>
      </c>
      <c r="D7591" s="14">
        <v>1</v>
      </c>
      <c r="E7591" s="17">
        <v>2640</v>
      </c>
      <c r="F7591" s="16" t="s">
        <v>8</v>
      </c>
      <c r="G7591" s="38" t="str">
        <f>HYPERLINK("http://enext.ua/nik3168")</f>
        <v>http://enext.ua/nik3168</v>
      </c>
    </row>
    <row r="7592" spans="2:7" ht="22.5" outlineLevel="3" x14ac:dyDescent="0.2">
      <c r="B7592" s="14" t="s">
        <v>14315</v>
      </c>
      <c r="C7592" s="14" t="s">
        <v>14316</v>
      </c>
      <c r="D7592" s="14">
        <v>1</v>
      </c>
      <c r="E7592" s="17">
        <v>2640</v>
      </c>
      <c r="F7592" s="16" t="s">
        <v>8</v>
      </c>
      <c r="G7592" s="38" t="str">
        <f>HYPERLINK("http://enext.ua/nik3109")</f>
        <v>http://enext.ua/nik3109</v>
      </c>
    </row>
    <row r="7593" spans="2:7" ht="22.5" outlineLevel="3" x14ac:dyDescent="0.2">
      <c r="B7593" s="14" t="s">
        <v>14317</v>
      </c>
      <c r="C7593" s="14" t="s">
        <v>14318</v>
      </c>
      <c r="D7593" s="14">
        <v>1</v>
      </c>
      <c r="E7593" s="17">
        <v>3120</v>
      </c>
      <c r="F7593" s="16" t="s">
        <v>8</v>
      </c>
      <c r="G7593" s="38" t="str">
        <f>HYPERLINK("http://enext.ua/nik4091")</f>
        <v>http://enext.ua/nik4091</v>
      </c>
    </row>
    <row r="7594" spans="2:7" ht="22.5" outlineLevel="3" x14ac:dyDescent="0.2">
      <c r="B7594" s="14" t="s">
        <v>14319</v>
      </c>
      <c r="C7594" s="14" t="s">
        <v>14320</v>
      </c>
      <c r="D7594" s="14">
        <v>1</v>
      </c>
      <c r="E7594" s="17">
        <v>2640</v>
      </c>
      <c r="F7594" s="16" t="s">
        <v>8</v>
      </c>
      <c r="G7594" s="38" t="str">
        <f>HYPERLINK("http://enext.ua/nik3110")</f>
        <v>http://enext.ua/nik3110</v>
      </c>
    </row>
    <row r="7595" spans="2:7" ht="22.5" outlineLevel="3" x14ac:dyDescent="0.2">
      <c r="B7595" s="14" t="s">
        <v>14321</v>
      </c>
      <c r="C7595" s="14" t="s">
        <v>14322</v>
      </c>
      <c r="D7595" s="14">
        <v>1</v>
      </c>
      <c r="E7595" s="17">
        <v>2640</v>
      </c>
      <c r="F7595" s="16" t="s">
        <v>8</v>
      </c>
      <c r="G7595" s="14"/>
    </row>
    <row r="7596" spans="2:7" ht="22.5" outlineLevel="3" x14ac:dyDescent="0.2">
      <c r="B7596" s="14" t="s">
        <v>14323</v>
      </c>
      <c r="C7596" s="14" t="s">
        <v>14324</v>
      </c>
      <c r="D7596" s="14">
        <v>1</v>
      </c>
      <c r="E7596" s="17">
        <v>2640</v>
      </c>
      <c r="F7596" s="16" t="s">
        <v>8</v>
      </c>
      <c r="G7596" s="14"/>
    </row>
    <row r="7597" spans="2:7" ht="22.5" outlineLevel="3" x14ac:dyDescent="0.2">
      <c r="B7597" s="14" t="s">
        <v>14325</v>
      </c>
      <c r="C7597" s="14" t="s">
        <v>14326</v>
      </c>
      <c r="D7597" s="14">
        <v>1</v>
      </c>
      <c r="E7597" s="17">
        <v>2640</v>
      </c>
      <c r="F7597" s="16" t="s">
        <v>8</v>
      </c>
      <c r="G7597" s="14"/>
    </row>
    <row r="7598" spans="2:7" ht="24" outlineLevel="2" x14ac:dyDescent="0.2">
      <c r="B7598" s="8"/>
      <c r="C7598" s="35" t="s">
        <v>14327</v>
      </c>
      <c r="D7598" s="8"/>
      <c r="E7598" s="9"/>
      <c r="F7598" s="9"/>
      <c r="G7598" s="8"/>
    </row>
    <row r="7599" spans="2:7" ht="11.25" outlineLevel="3" x14ac:dyDescent="0.2">
      <c r="B7599" s="14" t="s">
        <v>14328</v>
      </c>
      <c r="C7599" s="14" t="s">
        <v>14329</v>
      </c>
      <c r="D7599" s="14">
        <v>1</v>
      </c>
      <c r="E7599" s="17">
        <v>2970</v>
      </c>
      <c r="F7599" s="16" t="s">
        <v>8</v>
      </c>
      <c r="G7599" s="14"/>
    </row>
    <row r="7600" spans="2:7" ht="11.25" outlineLevel="3" x14ac:dyDescent="0.2">
      <c r="B7600" s="14" t="s">
        <v>14330</v>
      </c>
      <c r="C7600" s="14" t="s">
        <v>14331</v>
      </c>
      <c r="D7600" s="14">
        <v>1</v>
      </c>
      <c r="E7600" s="17">
        <v>2970</v>
      </c>
      <c r="F7600" s="16" t="s">
        <v>8</v>
      </c>
      <c r="G7600" s="14"/>
    </row>
    <row r="7601" spans="2:7" ht="11.25" outlineLevel="3" x14ac:dyDescent="0.2">
      <c r="B7601" s="14" t="s">
        <v>14332</v>
      </c>
      <c r="C7601" s="14" t="s">
        <v>14333</v>
      </c>
      <c r="D7601" s="14">
        <v>1</v>
      </c>
      <c r="E7601" s="17">
        <v>2970</v>
      </c>
      <c r="F7601" s="16" t="s">
        <v>8</v>
      </c>
      <c r="G7601" s="14"/>
    </row>
    <row r="7602" spans="2:7" ht="11.25" outlineLevel="3" x14ac:dyDescent="0.2">
      <c r="B7602" s="14" t="s">
        <v>14334</v>
      </c>
      <c r="C7602" s="14" t="s">
        <v>14335</v>
      </c>
      <c r="D7602" s="14">
        <v>1</v>
      </c>
      <c r="E7602" s="17">
        <v>2970</v>
      </c>
      <c r="F7602" s="16" t="s">
        <v>8</v>
      </c>
      <c r="G7602" s="14"/>
    </row>
    <row r="7603" spans="2:7" ht="11.25" outlineLevel="3" x14ac:dyDescent="0.2">
      <c r="B7603" s="14" t="s">
        <v>14336</v>
      </c>
      <c r="C7603" s="14" t="s">
        <v>14337</v>
      </c>
      <c r="D7603" s="14">
        <v>1</v>
      </c>
      <c r="E7603" s="17">
        <v>2970</v>
      </c>
      <c r="F7603" s="16" t="s">
        <v>8</v>
      </c>
      <c r="G7603" s="38" t="str">
        <f>HYPERLINK("http://enext.ua/nik3130")</f>
        <v>http://enext.ua/nik3130</v>
      </c>
    </row>
    <row r="7604" spans="2:7" ht="11.25" outlineLevel="3" x14ac:dyDescent="0.2">
      <c r="B7604" s="14" t="s">
        <v>14338</v>
      </c>
      <c r="C7604" s="14" t="s">
        <v>14339</v>
      </c>
      <c r="D7604" s="14">
        <v>1</v>
      </c>
      <c r="E7604" s="17">
        <v>3120</v>
      </c>
      <c r="F7604" s="16" t="s">
        <v>8</v>
      </c>
      <c r="G7604" s="38" t="str">
        <f>HYPERLINK("http://enext.ua/nik3130mc")</f>
        <v>http://enext.ua/nik3130mc</v>
      </c>
    </row>
    <row r="7605" spans="2:7" ht="11.25" outlineLevel="3" x14ac:dyDescent="0.2">
      <c r="B7605" s="14" t="s">
        <v>14340</v>
      </c>
      <c r="C7605" s="14" t="s">
        <v>14341</v>
      </c>
      <c r="D7605" s="14">
        <v>1</v>
      </c>
      <c r="E7605" s="17">
        <v>3450</v>
      </c>
      <c r="F7605" s="16" t="s">
        <v>8</v>
      </c>
      <c r="G7605" s="38" t="str">
        <f>HYPERLINK("http://enext.ua/nik2895")</f>
        <v>http://enext.ua/nik2895</v>
      </c>
    </row>
    <row r="7606" spans="2:7" ht="11.25" outlineLevel="3" x14ac:dyDescent="0.2">
      <c r="B7606" s="14" t="s">
        <v>14342</v>
      </c>
      <c r="C7606" s="14" t="s">
        <v>14343</v>
      </c>
      <c r="D7606" s="14">
        <v>1</v>
      </c>
      <c r="E7606" s="17">
        <v>3510</v>
      </c>
      <c r="F7606" s="16" t="s">
        <v>8</v>
      </c>
      <c r="G7606" s="38" t="str">
        <f>HYPERLINK("http://enext.ua/nik3170")</f>
        <v>http://enext.ua/nik3170</v>
      </c>
    </row>
    <row r="7607" spans="2:7" ht="11.25" outlineLevel="3" x14ac:dyDescent="0.2">
      <c r="B7607" s="14" t="s">
        <v>14344</v>
      </c>
      <c r="C7607" s="14" t="s">
        <v>14345</v>
      </c>
      <c r="D7607" s="14">
        <v>1</v>
      </c>
      <c r="E7607" s="17">
        <v>2970</v>
      </c>
      <c r="F7607" s="16" t="s">
        <v>8</v>
      </c>
      <c r="G7607" s="38" t="str">
        <f>HYPERLINK("http://enext.ua/nik3397")</f>
        <v>http://enext.ua/nik3397</v>
      </c>
    </row>
    <row r="7608" spans="2:7" ht="11.25" outlineLevel="3" x14ac:dyDescent="0.2">
      <c r="B7608" s="14" t="s">
        <v>14346</v>
      </c>
      <c r="C7608" s="14" t="s">
        <v>14347</v>
      </c>
      <c r="D7608" s="14">
        <v>1</v>
      </c>
      <c r="E7608" s="17">
        <v>3450</v>
      </c>
      <c r="F7608" s="16" t="s">
        <v>8</v>
      </c>
      <c r="G7608" s="38" t="str">
        <f>HYPERLINK("http://enext.ua/nik3172")</f>
        <v>http://enext.ua/nik3172</v>
      </c>
    </row>
    <row r="7609" spans="2:7" ht="11.25" outlineLevel="3" x14ac:dyDescent="0.2">
      <c r="B7609" s="14" t="s">
        <v>14348</v>
      </c>
      <c r="C7609" s="14" t="s">
        <v>14349</v>
      </c>
      <c r="D7609" s="14">
        <v>1</v>
      </c>
      <c r="E7609" s="17">
        <v>3510</v>
      </c>
      <c r="F7609" s="16" t="s">
        <v>8</v>
      </c>
      <c r="G7609" s="38" t="str">
        <f>HYPERLINK("http://enext.ua/nik3171")</f>
        <v>http://enext.ua/nik3171</v>
      </c>
    </row>
    <row r="7610" spans="2:7" ht="11.25" outlineLevel="3" x14ac:dyDescent="0.2">
      <c r="B7610" s="14" t="s">
        <v>14350</v>
      </c>
      <c r="C7610" s="14" t="s">
        <v>14351</v>
      </c>
      <c r="D7610" s="14">
        <v>1</v>
      </c>
      <c r="E7610" s="17">
        <v>2970</v>
      </c>
      <c r="F7610" s="16" t="s">
        <v>8</v>
      </c>
      <c r="G7610" s="14"/>
    </row>
    <row r="7611" spans="2:7" ht="11.25" outlineLevel="3" x14ac:dyDescent="0.2">
      <c r="B7611" s="14" t="s">
        <v>14352</v>
      </c>
      <c r="C7611" s="14" t="s">
        <v>14353</v>
      </c>
      <c r="D7611" s="14">
        <v>1</v>
      </c>
      <c r="E7611" s="17">
        <v>2970</v>
      </c>
      <c r="F7611" s="16" t="s">
        <v>8</v>
      </c>
      <c r="G7611" s="38" t="str">
        <f>HYPERLINK("http://enext.ua/nik3941")</f>
        <v>http://enext.ua/nik3941</v>
      </c>
    </row>
    <row r="7612" spans="2:7" ht="11.25" outlineLevel="3" x14ac:dyDescent="0.2">
      <c r="B7612" s="14" t="s">
        <v>14354</v>
      </c>
      <c r="C7612" s="14" t="s">
        <v>14355</v>
      </c>
      <c r="D7612" s="14">
        <v>1</v>
      </c>
      <c r="E7612" s="17">
        <v>2970</v>
      </c>
      <c r="F7612" s="16" t="s">
        <v>8</v>
      </c>
      <c r="G7612" s="38" t="str">
        <f>HYPERLINK("http://enext.ua/nik4734")</f>
        <v>http://enext.ua/nik4734</v>
      </c>
    </row>
    <row r="7613" spans="2:7" ht="11.25" outlineLevel="3" x14ac:dyDescent="0.2">
      <c r="B7613" s="14" t="s">
        <v>14356</v>
      </c>
      <c r="C7613" s="14" t="s">
        <v>14357</v>
      </c>
      <c r="D7613" s="14">
        <v>1</v>
      </c>
      <c r="E7613" s="17">
        <v>3694.06</v>
      </c>
      <c r="F7613" s="16" t="s">
        <v>8</v>
      </c>
      <c r="G7613" s="38" t="str">
        <f>HYPERLINK("http://enext.ua/nik3607")</f>
        <v>http://enext.ua/nik3607</v>
      </c>
    </row>
    <row r="7614" spans="2:7" ht="12" outlineLevel="2" x14ac:dyDescent="0.2">
      <c r="B7614" s="8"/>
      <c r="C7614" s="35" t="s">
        <v>14358</v>
      </c>
      <c r="D7614" s="8"/>
      <c r="E7614" s="9"/>
      <c r="F7614" s="9"/>
      <c r="G7614" s="8"/>
    </row>
    <row r="7615" spans="2:7" ht="11.25" outlineLevel="3" x14ac:dyDescent="0.2">
      <c r="B7615" s="14" t="s">
        <v>14359</v>
      </c>
      <c r="C7615" s="14" t="s">
        <v>14360</v>
      </c>
      <c r="D7615" s="14">
        <v>1</v>
      </c>
      <c r="E7615" s="17">
        <v>1830</v>
      </c>
      <c r="F7615" s="16" t="s">
        <v>8</v>
      </c>
      <c r="G7615" s="14"/>
    </row>
    <row r="7616" spans="2:7" ht="11.25" outlineLevel="3" x14ac:dyDescent="0.2">
      <c r="B7616" s="14" t="s">
        <v>14361</v>
      </c>
      <c r="C7616" s="14" t="s">
        <v>14362</v>
      </c>
      <c r="D7616" s="14">
        <v>1</v>
      </c>
      <c r="E7616" s="17">
        <v>1230</v>
      </c>
      <c r="F7616" s="16" t="s">
        <v>8</v>
      </c>
      <c r="G7616" s="14"/>
    </row>
    <row r="7617" spans="2:7" ht="11.25" outlineLevel="3" x14ac:dyDescent="0.2">
      <c r="B7617" s="14" t="s">
        <v>14363</v>
      </c>
      <c r="C7617" s="14" t="s">
        <v>14364</v>
      </c>
      <c r="D7617" s="14">
        <v>1</v>
      </c>
      <c r="E7617" s="17">
        <v>1800</v>
      </c>
      <c r="F7617" s="16" t="s">
        <v>8</v>
      </c>
      <c r="G7617" s="14"/>
    </row>
    <row r="7618" spans="2:7" ht="11.25" outlineLevel="3" x14ac:dyDescent="0.2">
      <c r="B7618" s="14" t="s">
        <v>14365</v>
      </c>
      <c r="C7618" s="14" t="s">
        <v>14366</v>
      </c>
      <c r="D7618" s="14">
        <v>1</v>
      </c>
      <c r="E7618" s="17">
        <v>1800</v>
      </c>
      <c r="F7618" s="16" t="s">
        <v>8</v>
      </c>
      <c r="G7618" s="14"/>
    </row>
    <row r="7619" spans="2:7" ht="11.25" outlineLevel="3" x14ac:dyDescent="0.2">
      <c r="B7619" s="14" t="s">
        <v>14367</v>
      </c>
      <c r="C7619" s="14" t="s">
        <v>14368</v>
      </c>
      <c r="D7619" s="14">
        <v>1</v>
      </c>
      <c r="E7619" s="17">
        <v>1200</v>
      </c>
      <c r="F7619" s="16" t="s">
        <v>8</v>
      </c>
      <c r="G7619" s="38" t="str">
        <f>HYPERLINK("http://enext.ua/nik4827")</f>
        <v>http://enext.ua/nik4827</v>
      </c>
    </row>
    <row r="7620" spans="2:7" ht="11.25" outlineLevel="3" x14ac:dyDescent="0.2">
      <c r="B7620" s="14" t="s">
        <v>14369</v>
      </c>
      <c r="C7620" s="14" t="s">
        <v>14370</v>
      </c>
      <c r="D7620" s="14">
        <v>1</v>
      </c>
      <c r="E7620" s="17">
        <v>1440</v>
      </c>
      <c r="F7620" s="16" t="s">
        <v>8</v>
      </c>
      <c r="G7620" s="14"/>
    </row>
    <row r="7621" spans="2:7" ht="11.25" outlineLevel="3" x14ac:dyDescent="0.2">
      <c r="B7621" s="14" t="s">
        <v>14371</v>
      </c>
      <c r="C7621" s="14" t="s">
        <v>14372</v>
      </c>
      <c r="D7621" s="14">
        <v>1</v>
      </c>
      <c r="E7621" s="15">
        <v>524.42999999999995</v>
      </c>
      <c r="F7621" s="16" t="s">
        <v>8</v>
      </c>
      <c r="G7621" s="38" t="str">
        <f>HYPERLINK("http://enext.ua/nik1437")</f>
        <v>http://enext.ua/nik1437</v>
      </c>
    </row>
    <row r="7622" spans="2:7" ht="11.25" outlineLevel="3" x14ac:dyDescent="0.2">
      <c r="B7622" s="14" t="s">
        <v>14373</v>
      </c>
      <c r="C7622" s="14" t="s">
        <v>14374</v>
      </c>
      <c r="D7622" s="14">
        <v>1</v>
      </c>
      <c r="E7622" s="15">
        <v>444</v>
      </c>
      <c r="F7622" s="16" t="s">
        <v>8</v>
      </c>
      <c r="G7622" s="38" t="str">
        <f>HYPERLINK("http://enext.ua/nik3169")</f>
        <v>http://enext.ua/nik3169</v>
      </c>
    </row>
    <row r="7623" spans="2:7" ht="11.25" outlineLevel="3" x14ac:dyDescent="0.2">
      <c r="B7623" s="14" t="s">
        <v>14375</v>
      </c>
      <c r="C7623" s="14" t="s">
        <v>14376</v>
      </c>
      <c r="D7623" s="14">
        <v>1</v>
      </c>
      <c r="E7623" s="15">
        <v>468</v>
      </c>
      <c r="F7623" s="16" t="s">
        <v>8</v>
      </c>
      <c r="G7623" s="14"/>
    </row>
    <row r="7624" spans="2:7" ht="11.25" outlineLevel="3" x14ac:dyDescent="0.2">
      <c r="B7624" s="14" t="s">
        <v>14377</v>
      </c>
      <c r="C7624" s="14" t="s">
        <v>14378</v>
      </c>
      <c r="D7624" s="14">
        <v>1</v>
      </c>
      <c r="E7624" s="17">
        <v>1710</v>
      </c>
      <c r="F7624" s="16" t="s">
        <v>8</v>
      </c>
      <c r="G7624" s="38" t="str">
        <f>HYPERLINK("http://enext.ua/nik4049")</f>
        <v>http://enext.ua/nik4049</v>
      </c>
    </row>
    <row r="7625" spans="2:7" ht="11.25" outlineLevel="3" x14ac:dyDescent="0.2">
      <c r="B7625" s="14" t="s">
        <v>14379</v>
      </c>
      <c r="C7625" s="14" t="s">
        <v>14380</v>
      </c>
      <c r="D7625" s="14">
        <v>1</v>
      </c>
      <c r="E7625" s="17">
        <v>1650</v>
      </c>
      <c r="F7625" s="16" t="s">
        <v>8</v>
      </c>
      <c r="G7625" s="14"/>
    </row>
    <row r="7626" spans="2:7" ht="12" outlineLevel="2" x14ac:dyDescent="0.2">
      <c r="B7626" s="8"/>
      <c r="C7626" s="35" t="s">
        <v>14381</v>
      </c>
      <c r="D7626" s="8"/>
      <c r="E7626" s="9"/>
      <c r="F7626" s="9"/>
      <c r="G7626" s="8"/>
    </row>
    <row r="7627" spans="2:7" ht="11.25" outlineLevel="3" x14ac:dyDescent="0.2">
      <c r="B7627" s="14" t="s">
        <v>14382</v>
      </c>
      <c r="C7627" s="14" t="s">
        <v>14383</v>
      </c>
      <c r="D7627" s="14">
        <v>1</v>
      </c>
      <c r="E7627" s="17">
        <v>2640</v>
      </c>
      <c r="F7627" s="16" t="s">
        <v>8</v>
      </c>
      <c r="G7627" s="14"/>
    </row>
    <row r="7628" spans="2:7" ht="22.5" outlineLevel="3" x14ac:dyDescent="0.2">
      <c r="B7628" s="14" t="s">
        <v>14384</v>
      </c>
      <c r="C7628" s="14" t="s">
        <v>14385</v>
      </c>
      <c r="D7628" s="14">
        <v>1</v>
      </c>
      <c r="E7628" s="17">
        <v>2640</v>
      </c>
      <c r="F7628" s="16" t="s">
        <v>8</v>
      </c>
      <c r="G7628" s="38" t="str">
        <f>HYPERLINK("http://enext.ua/nik4030")</f>
        <v>http://enext.ua/nik4030</v>
      </c>
    </row>
    <row r="7629" spans="2:7" ht="22.5" outlineLevel="3" x14ac:dyDescent="0.2">
      <c r="B7629" s="14" t="s">
        <v>14386</v>
      </c>
      <c r="C7629" s="14" t="s">
        <v>14387</v>
      </c>
      <c r="D7629" s="14">
        <v>1</v>
      </c>
      <c r="E7629" s="17">
        <v>2640</v>
      </c>
      <c r="F7629" s="16" t="s">
        <v>8</v>
      </c>
      <c r="G7629" s="38" t="str">
        <f>HYPERLINK("http://enext.ua/nik4329")</f>
        <v>http://enext.ua/nik4329</v>
      </c>
    </row>
    <row r="7630" spans="2:7" ht="22.5" outlineLevel="3" x14ac:dyDescent="0.2">
      <c r="B7630" s="14" t="s">
        <v>14388</v>
      </c>
      <c r="C7630" s="14" t="s">
        <v>14389</v>
      </c>
      <c r="D7630" s="14">
        <v>1</v>
      </c>
      <c r="E7630" s="17">
        <v>2700</v>
      </c>
      <c r="F7630" s="16" t="s">
        <v>8</v>
      </c>
      <c r="G7630" s="38" t="str">
        <f>HYPERLINK("http://enext.ua/nik3119")</f>
        <v>http://enext.ua/nik3119</v>
      </c>
    </row>
    <row r="7631" spans="2:7" ht="22.5" outlineLevel="3" x14ac:dyDescent="0.2">
      <c r="B7631" s="14" t="s">
        <v>14390</v>
      </c>
      <c r="C7631" s="14" t="s">
        <v>14391</v>
      </c>
      <c r="D7631" s="14">
        <v>1</v>
      </c>
      <c r="E7631" s="17">
        <v>2640</v>
      </c>
      <c r="F7631" s="16" t="s">
        <v>8</v>
      </c>
      <c r="G7631" s="38" t="str">
        <f>HYPERLINK("http://enext.ua/nik4327")</f>
        <v>http://enext.ua/nik4327</v>
      </c>
    </row>
    <row r="7632" spans="2:7" ht="22.5" outlineLevel="3" x14ac:dyDescent="0.2">
      <c r="B7632" s="14" t="s">
        <v>14392</v>
      </c>
      <c r="C7632" s="14" t="s">
        <v>14393</v>
      </c>
      <c r="D7632" s="14">
        <v>1</v>
      </c>
      <c r="E7632" s="17">
        <v>2700</v>
      </c>
      <c r="F7632" s="16" t="s">
        <v>8</v>
      </c>
      <c r="G7632" s="38" t="str">
        <f>HYPERLINK("http://enext.ua/nik3498")</f>
        <v>http://enext.ua/nik3498</v>
      </c>
    </row>
    <row r="7633" spans="2:7" ht="22.5" outlineLevel="3" x14ac:dyDescent="0.2">
      <c r="B7633" s="14" t="s">
        <v>14394</v>
      </c>
      <c r="C7633" s="14" t="s">
        <v>14395</v>
      </c>
      <c r="D7633" s="14">
        <v>1</v>
      </c>
      <c r="E7633" s="17">
        <v>2640</v>
      </c>
      <c r="F7633" s="16" t="s">
        <v>8</v>
      </c>
      <c r="G7633" s="38" t="str">
        <f>HYPERLINK("http://enext.ua/nik3530")</f>
        <v>http://enext.ua/nik3530</v>
      </c>
    </row>
    <row r="7634" spans="2:7" ht="22.5" outlineLevel="3" x14ac:dyDescent="0.2">
      <c r="B7634" s="14" t="s">
        <v>14396</v>
      </c>
      <c r="C7634" s="14" t="s">
        <v>14397</v>
      </c>
      <c r="D7634" s="14">
        <v>1</v>
      </c>
      <c r="E7634" s="17">
        <v>2700</v>
      </c>
      <c r="F7634" s="16" t="s">
        <v>8</v>
      </c>
      <c r="G7634" s="38" t="str">
        <f>HYPERLINK("http://enext.ua/nik3573")</f>
        <v>http://enext.ua/nik3573</v>
      </c>
    </row>
    <row r="7635" spans="2:7" ht="22.5" outlineLevel="3" x14ac:dyDescent="0.2">
      <c r="B7635" s="14" t="s">
        <v>14398</v>
      </c>
      <c r="C7635" s="14" t="s">
        <v>14399</v>
      </c>
      <c r="D7635" s="14">
        <v>1</v>
      </c>
      <c r="E7635" s="17">
        <v>3120</v>
      </c>
      <c r="F7635" s="16" t="s">
        <v>8</v>
      </c>
      <c r="G7635" s="38" t="str">
        <f>HYPERLINK("http://enext.ua/nik3888")</f>
        <v>http://enext.ua/nik3888</v>
      </c>
    </row>
    <row r="7636" spans="2:7" ht="22.5" outlineLevel="3" x14ac:dyDescent="0.2">
      <c r="B7636" s="14" t="s">
        <v>14400</v>
      </c>
      <c r="C7636" s="14" t="s">
        <v>14401</v>
      </c>
      <c r="D7636" s="14">
        <v>1</v>
      </c>
      <c r="E7636" s="17">
        <v>3180</v>
      </c>
      <c r="F7636" s="16" t="s">
        <v>8</v>
      </c>
      <c r="G7636" s="38" t="str">
        <f>HYPERLINK("http://enext.ua/nik3618")</f>
        <v>http://enext.ua/nik3618</v>
      </c>
    </row>
    <row r="7637" spans="2:7" ht="11.25" outlineLevel="3" x14ac:dyDescent="0.2">
      <c r="B7637" s="14" t="s">
        <v>14402</v>
      </c>
      <c r="C7637" s="14" t="s">
        <v>14403</v>
      </c>
      <c r="D7637" s="14">
        <v>1</v>
      </c>
      <c r="E7637" s="17">
        <v>2640</v>
      </c>
      <c r="F7637" s="16" t="s">
        <v>8</v>
      </c>
      <c r="G7637" s="14"/>
    </row>
    <row r="7638" spans="2:7" ht="11.25" outlineLevel="3" x14ac:dyDescent="0.2">
      <c r="B7638" s="14" t="s">
        <v>14404</v>
      </c>
      <c r="C7638" s="14" t="s">
        <v>14405</v>
      </c>
      <c r="D7638" s="14">
        <v>1</v>
      </c>
      <c r="E7638" s="17">
        <v>3510</v>
      </c>
      <c r="F7638" s="16" t="s">
        <v>8</v>
      </c>
      <c r="G7638" s="14"/>
    </row>
    <row r="7639" spans="2:7" ht="22.5" outlineLevel="3" x14ac:dyDescent="0.2">
      <c r="B7639" s="14" t="s">
        <v>14406</v>
      </c>
      <c r="C7639" s="14" t="s">
        <v>14407</v>
      </c>
      <c r="D7639" s="14">
        <v>1</v>
      </c>
      <c r="E7639" s="17">
        <v>2640</v>
      </c>
      <c r="F7639" s="16" t="s">
        <v>8</v>
      </c>
      <c r="G7639" s="14"/>
    </row>
    <row r="7640" spans="2:7" ht="22.5" outlineLevel="3" x14ac:dyDescent="0.2">
      <c r="B7640" s="14" t="s">
        <v>14408</v>
      </c>
      <c r="C7640" s="14" t="s">
        <v>14409</v>
      </c>
      <c r="D7640" s="14">
        <v>1</v>
      </c>
      <c r="E7640" s="17">
        <v>2640</v>
      </c>
      <c r="F7640" s="16" t="s">
        <v>8</v>
      </c>
      <c r="G7640" s="14"/>
    </row>
    <row r="7641" spans="2:7" ht="12" outlineLevel="2" x14ac:dyDescent="0.2">
      <c r="B7641" s="8"/>
      <c r="C7641" s="35" t="s">
        <v>14410</v>
      </c>
      <c r="D7641" s="8"/>
      <c r="E7641" s="9"/>
      <c r="F7641" s="9"/>
      <c r="G7641" s="8"/>
    </row>
    <row r="7642" spans="2:7" ht="11.25" outlineLevel="3" x14ac:dyDescent="0.2">
      <c r="B7642" s="14" t="s">
        <v>14411</v>
      </c>
      <c r="C7642" s="14" t="s">
        <v>14412</v>
      </c>
      <c r="D7642" s="14">
        <v>1</v>
      </c>
      <c r="E7642" s="17">
        <v>1471.5</v>
      </c>
      <c r="F7642" s="16" t="s">
        <v>8</v>
      </c>
      <c r="G7642" s="14"/>
    </row>
    <row r="7643" spans="2:7" ht="11.25" outlineLevel="3" x14ac:dyDescent="0.2">
      <c r="B7643" s="14" t="s">
        <v>14413</v>
      </c>
      <c r="C7643" s="14" t="s">
        <v>14414</v>
      </c>
      <c r="D7643" s="14">
        <v>1</v>
      </c>
      <c r="E7643" s="17">
        <v>1471.5</v>
      </c>
      <c r="F7643" s="16" t="s">
        <v>8</v>
      </c>
      <c r="G7643" s="14"/>
    </row>
    <row r="7644" spans="2:7" ht="11.25" outlineLevel="3" x14ac:dyDescent="0.2">
      <c r="B7644" s="14" t="s">
        <v>14415</v>
      </c>
      <c r="C7644" s="14" t="s">
        <v>14416</v>
      </c>
      <c r="D7644" s="14">
        <v>1</v>
      </c>
      <c r="E7644" s="17">
        <v>1471.5</v>
      </c>
      <c r="F7644" s="16" t="s">
        <v>8</v>
      </c>
      <c r="G7644" s="14"/>
    </row>
    <row r="7645" spans="2:7" ht="11.25" outlineLevel="3" x14ac:dyDescent="0.2">
      <c r="B7645" s="14" t="s">
        <v>14417</v>
      </c>
      <c r="C7645" s="14" t="s">
        <v>14418</v>
      </c>
      <c r="D7645" s="14">
        <v>1</v>
      </c>
      <c r="E7645" s="17">
        <v>1471.5</v>
      </c>
      <c r="F7645" s="16" t="s">
        <v>8</v>
      </c>
      <c r="G7645" s="14"/>
    </row>
    <row r="7646" spans="2:7" ht="11.25" outlineLevel="3" x14ac:dyDescent="0.2">
      <c r="B7646" s="14" t="s">
        <v>14419</v>
      </c>
      <c r="C7646" s="14" t="s">
        <v>14420</v>
      </c>
      <c r="D7646" s="14">
        <v>1</v>
      </c>
      <c r="E7646" s="17">
        <v>1471.5</v>
      </c>
      <c r="F7646" s="16" t="s">
        <v>8</v>
      </c>
      <c r="G7646" s="14"/>
    </row>
    <row r="7647" spans="2:7" ht="11.25" outlineLevel="3" x14ac:dyDescent="0.2">
      <c r="B7647" s="14" t="s">
        <v>14421</v>
      </c>
      <c r="C7647" s="14" t="s">
        <v>14422</v>
      </c>
      <c r="D7647" s="14">
        <v>1</v>
      </c>
      <c r="E7647" s="17">
        <v>1350</v>
      </c>
      <c r="F7647" s="16" t="s">
        <v>8</v>
      </c>
      <c r="G7647" s="14"/>
    </row>
    <row r="7648" spans="2:7" ht="11.25" outlineLevel="3" x14ac:dyDescent="0.2">
      <c r="B7648" s="14" t="s">
        <v>14423</v>
      </c>
      <c r="C7648" s="14" t="s">
        <v>14424</v>
      </c>
      <c r="D7648" s="14">
        <v>1</v>
      </c>
      <c r="E7648" s="17">
        <v>2295</v>
      </c>
      <c r="F7648" s="16" t="s">
        <v>8</v>
      </c>
      <c r="G7648" s="14"/>
    </row>
    <row r="7649" spans="2:7" ht="11.25" outlineLevel="3" x14ac:dyDescent="0.2">
      <c r="B7649" s="14" t="s">
        <v>14425</v>
      </c>
      <c r="C7649" s="14" t="s">
        <v>14426</v>
      </c>
      <c r="D7649" s="14">
        <v>1</v>
      </c>
      <c r="E7649" s="17">
        <v>3217.67</v>
      </c>
      <c r="F7649" s="16" t="s">
        <v>8</v>
      </c>
      <c r="G7649" s="14"/>
    </row>
    <row r="7650" spans="2:7" ht="11.25" outlineLevel="3" x14ac:dyDescent="0.2">
      <c r="B7650" s="14" t="s">
        <v>14427</v>
      </c>
      <c r="C7650" s="14" t="s">
        <v>14428</v>
      </c>
      <c r="D7650" s="14">
        <v>1</v>
      </c>
      <c r="E7650" s="17">
        <v>2640</v>
      </c>
      <c r="F7650" s="16" t="s">
        <v>8</v>
      </c>
      <c r="G7650" s="14"/>
    </row>
    <row r="7651" spans="2:7" ht="11.25" outlineLevel="3" x14ac:dyDescent="0.2">
      <c r="B7651" s="14" t="s">
        <v>14429</v>
      </c>
      <c r="C7651" s="14" t="s">
        <v>14430</v>
      </c>
      <c r="D7651" s="14">
        <v>1</v>
      </c>
      <c r="E7651" s="17">
        <v>2295</v>
      </c>
      <c r="F7651" s="16" t="s">
        <v>8</v>
      </c>
      <c r="G7651" s="14"/>
    </row>
    <row r="7652" spans="2:7" ht="11.25" outlineLevel="3" x14ac:dyDescent="0.2">
      <c r="B7652" s="14" t="s">
        <v>14431</v>
      </c>
      <c r="C7652" s="14" t="s">
        <v>14432</v>
      </c>
      <c r="D7652" s="14">
        <v>1</v>
      </c>
      <c r="E7652" s="17">
        <v>3015</v>
      </c>
      <c r="F7652" s="16" t="s">
        <v>8</v>
      </c>
      <c r="G7652" s="14"/>
    </row>
    <row r="7653" spans="2:7" ht="11.25" outlineLevel="3" x14ac:dyDescent="0.2">
      <c r="B7653" s="14" t="s">
        <v>14433</v>
      </c>
      <c r="C7653" s="14" t="s">
        <v>14434</v>
      </c>
      <c r="D7653" s="14">
        <v>1</v>
      </c>
      <c r="E7653" s="17">
        <v>2790</v>
      </c>
      <c r="F7653" s="16" t="s">
        <v>8</v>
      </c>
      <c r="G7653" s="14"/>
    </row>
    <row r="7654" spans="2:7" ht="11.25" outlineLevel="3" x14ac:dyDescent="0.2">
      <c r="B7654" s="14" t="s">
        <v>14435</v>
      </c>
      <c r="C7654" s="14" t="s">
        <v>14436</v>
      </c>
      <c r="D7654" s="14">
        <v>1</v>
      </c>
      <c r="E7654" s="17">
        <v>3360</v>
      </c>
      <c r="F7654" s="16" t="s">
        <v>8</v>
      </c>
      <c r="G7654" s="14"/>
    </row>
    <row r="7655" spans="2:7" ht="11.25" outlineLevel="3" x14ac:dyDescent="0.2">
      <c r="B7655" s="14" t="s">
        <v>14437</v>
      </c>
      <c r="C7655" s="14" t="s">
        <v>14438</v>
      </c>
      <c r="D7655" s="14">
        <v>1</v>
      </c>
      <c r="E7655" s="17">
        <v>2295</v>
      </c>
      <c r="F7655" s="16" t="s">
        <v>8</v>
      </c>
      <c r="G7655" s="14"/>
    </row>
    <row r="7656" spans="2:7" ht="11.25" outlineLevel="3" x14ac:dyDescent="0.2">
      <c r="B7656" s="14" t="s">
        <v>14439</v>
      </c>
      <c r="C7656" s="14" t="s">
        <v>14440</v>
      </c>
      <c r="D7656" s="14">
        <v>1</v>
      </c>
      <c r="E7656" s="17">
        <v>1650</v>
      </c>
      <c r="F7656" s="16" t="s">
        <v>8</v>
      </c>
      <c r="G7656" s="38" t="str">
        <f>HYPERLINK("http://enext.ua/nik1990")</f>
        <v>http://enext.ua/nik1990</v>
      </c>
    </row>
    <row r="7657" spans="2:7" ht="11.25" outlineLevel="3" x14ac:dyDescent="0.2">
      <c r="B7657" s="14" t="s">
        <v>14441</v>
      </c>
      <c r="C7657" s="14" t="s">
        <v>14442</v>
      </c>
      <c r="D7657" s="14">
        <v>1</v>
      </c>
      <c r="E7657" s="17">
        <v>1350</v>
      </c>
      <c r="F7657" s="16" t="s">
        <v>8</v>
      </c>
      <c r="G7657" s="38" t="str">
        <f>HYPERLINK("http://enext.ua/nik1428")</f>
        <v>http://enext.ua/nik1428</v>
      </c>
    </row>
    <row r="7658" spans="2:7" ht="11.25" outlineLevel="3" x14ac:dyDescent="0.2">
      <c r="B7658" s="14" t="s">
        <v>14443</v>
      </c>
      <c r="C7658" s="14" t="s">
        <v>14444</v>
      </c>
      <c r="D7658" s="14">
        <v>1</v>
      </c>
      <c r="E7658" s="17">
        <v>1350</v>
      </c>
      <c r="F7658" s="16" t="s">
        <v>8</v>
      </c>
      <c r="G7658" s="14"/>
    </row>
    <row r="7659" spans="2:7" ht="11.25" outlineLevel="3" x14ac:dyDescent="0.2">
      <c r="B7659" s="14" t="s">
        <v>14445</v>
      </c>
      <c r="C7659" s="14" t="s">
        <v>14446</v>
      </c>
      <c r="D7659" s="14">
        <v>1</v>
      </c>
      <c r="E7659" s="17">
        <v>1350</v>
      </c>
      <c r="F7659" s="16" t="s">
        <v>8</v>
      </c>
      <c r="G7659" s="38" t="str">
        <f>HYPERLINK("http://enext.ua/nik2307")</f>
        <v>http://enext.ua/nik2307</v>
      </c>
    </row>
    <row r="7660" spans="2:7" ht="11.25" outlineLevel="3" x14ac:dyDescent="0.2">
      <c r="B7660" s="14" t="s">
        <v>14447</v>
      </c>
      <c r="C7660" s="14" t="s">
        <v>14448</v>
      </c>
      <c r="D7660" s="14">
        <v>1</v>
      </c>
      <c r="E7660" s="17">
        <v>1350</v>
      </c>
      <c r="F7660" s="16" t="s">
        <v>8</v>
      </c>
      <c r="G7660" s="14"/>
    </row>
    <row r="7661" spans="2:7" ht="11.25" outlineLevel="3" x14ac:dyDescent="0.2">
      <c r="B7661" s="14" t="s">
        <v>14449</v>
      </c>
      <c r="C7661" s="14" t="s">
        <v>14450</v>
      </c>
      <c r="D7661" s="14">
        <v>1</v>
      </c>
      <c r="E7661" s="17">
        <v>1350</v>
      </c>
      <c r="F7661" s="16" t="s">
        <v>8</v>
      </c>
      <c r="G7661" s="38" t="str">
        <f>HYPERLINK("http://enext.ua/nik2265")</f>
        <v>http://enext.ua/nik2265</v>
      </c>
    </row>
    <row r="7662" spans="2:7" ht="11.25" outlineLevel="3" x14ac:dyDescent="0.2">
      <c r="B7662" s="14" t="s">
        <v>14451</v>
      </c>
      <c r="C7662" s="14" t="s">
        <v>14452</v>
      </c>
      <c r="D7662" s="14">
        <v>1</v>
      </c>
      <c r="E7662" s="17">
        <v>1350</v>
      </c>
      <c r="F7662" s="16" t="s">
        <v>8</v>
      </c>
      <c r="G7662" s="38" t="str">
        <f>HYPERLINK("http://enext.ua/nik2308")</f>
        <v>http://enext.ua/nik2308</v>
      </c>
    </row>
    <row r="7663" spans="2:7" ht="22.5" outlineLevel="3" x14ac:dyDescent="0.2">
      <c r="B7663" s="14" t="s">
        <v>14453</v>
      </c>
      <c r="C7663" s="14" t="s">
        <v>14454</v>
      </c>
      <c r="D7663" s="14">
        <v>1</v>
      </c>
      <c r="E7663" s="17">
        <v>2295</v>
      </c>
      <c r="F7663" s="16" t="s">
        <v>8</v>
      </c>
      <c r="G7663" s="38" t="str">
        <f>HYPERLINK("http://enext.ua/nik4027")</f>
        <v>http://enext.ua/nik4027</v>
      </c>
    </row>
    <row r="7664" spans="2:7" ht="22.5" outlineLevel="3" x14ac:dyDescent="0.2">
      <c r="B7664" s="14" t="s">
        <v>14455</v>
      </c>
      <c r="C7664" s="14" t="s">
        <v>14456</v>
      </c>
      <c r="D7664" s="14">
        <v>1</v>
      </c>
      <c r="E7664" s="17">
        <v>2445</v>
      </c>
      <c r="F7664" s="16" t="s">
        <v>8</v>
      </c>
      <c r="G7664" s="38" t="str">
        <f>HYPERLINK("http://enext.ua/nik7900")</f>
        <v>http://enext.ua/nik7900</v>
      </c>
    </row>
    <row r="7665" spans="2:7" ht="11.25" outlineLevel="3" x14ac:dyDescent="0.2">
      <c r="B7665" s="14" t="s">
        <v>14457</v>
      </c>
      <c r="C7665" s="14" t="s">
        <v>14458</v>
      </c>
      <c r="D7665" s="14">
        <v>1</v>
      </c>
      <c r="E7665" s="17">
        <v>2295</v>
      </c>
      <c r="F7665" s="16" t="s">
        <v>8</v>
      </c>
      <c r="G7665" s="38" t="str">
        <f>HYPERLINK("http://enext.ua/nik4482")</f>
        <v>http://enext.ua/nik4482</v>
      </c>
    </row>
    <row r="7666" spans="2:7" ht="11.25" outlineLevel="3" x14ac:dyDescent="0.2">
      <c r="B7666" s="14" t="s">
        <v>14459</v>
      </c>
      <c r="C7666" s="14" t="s">
        <v>14460</v>
      </c>
      <c r="D7666" s="14">
        <v>1</v>
      </c>
      <c r="E7666" s="17">
        <v>2295</v>
      </c>
      <c r="F7666" s="16" t="s">
        <v>8</v>
      </c>
      <c r="G7666" s="38" t="str">
        <f>HYPERLINK("http://enext.ua/nik4025")</f>
        <v>http://enext.ua/nik4025</v>
      </c>
    </row>
    <row r="7667" spans="2:7" ht="22.5" outlineLevel="3" x14ac:dyDescent="0.2">
      <c r="B7667" s="14" t="s">
        <v>14461</v>
      </c>
      <c r="C7667" s="14" t="s">
        <v>14462</v>
      </c>
      <c r="D7667" s="14">
        <v>1</v>
      </c>
      <c r="E7667" s="17">
        <v>2445</v>
      </c>
      <c r="F7667" s="16" t="s">
        <v>8</v>
      </c>
      <c r="G7667" s="38" t="str">
        <f>HYPERLINK("http://enext.ua/nik8538")</f>
        <v>http://enext.ua/nik8538</v>
      </c>
    </row>
    <row r="7668" spans="2:7" ht="11.25" outlineLevel="3" x14ac:dyDescent="0.2">
      <c r="B7668" s="14" t="s">
        <v>14463</v>
      </c>
      <c r="C7668" s="14" t="s">
        <v>14464</v>
      </c>
      <c r="D7668" s="14">
        <v>1</v>
      </c>
      <c r="E7668" s="17">
        <v>2295</v>
      </c>
      <c r="F7668" s="16" t="s">
        <v>8</v>
      </c>
      <c r="G7668" s="38" t="str">
        <f>HYPERLINK("http://enext.ua/nik4026")</f>
        <v>http://enext.ua/nik4026</v>
      </c>
    </row>
    <row r="7669" spans="2:7" ht="22.5" outlineLevel="3" x14ac:dyDescent="0.2">
      <c r="B7669" s="14" t="s">
        <v>14465</v>
      </c>
      <c r="C7669" s="14" t="s">
        <v>14466</v>
      </c>
      <c r="D7669" s="14">
        <v>1</v>
      </c>
      <c r="E7669" s="17">
        <v>2445</v>
      </c>
      <c r="F7669" s="16" t="s">
        <v>8</v>
      </c>
      <c r="G7669" s="38" t="str">
        <f>HYPERLINK("http://enext.ua/nik6782")</f>
        <v>http://enext.ua/nik6782</v>
      </c>
    </row>
    <row r="7670" spans="2:7" ht="12" outlineLevel="2" x14ac:dyDescent="0.2">
      <c r="B7670" s="8"/>
      <c r="C7670" s="35" t="s">
        <v>14467</v>
      </c>
      <c r="D7670" s="8"/>
      <c r="E7670" s="9"/>
      <c r="F7670" s="9"/>
      <c r="G7670" s="8"/>
    </row>
    <row r="7671" spans="2:7" ht="11.25" outlineLevel="3" x14ac:dyDescent="0.2">
      <c r="B7671" s="14" t="s">
        <v>14468</v>
      </c>
      <c r="C7671" s="14" t="s">
        <v>14469</v>
      </c>
      <c r="D7671" s="14">
        <v>1</v>
      </c>
      <c r="E7671" s="15">
        <v>825</v>
      </c>
      <c r="F7671" s="16" t="s">
        <v>8</v>
      </c>
      <c r="G7671" s="38" t="str">
        <f>HYPERLINK("http://enext.ua/4327")</f>
        <v>http://enext.ua/4327</v>
      </c>
    </row>
    <row r="7672" spans="2:7" ht="11.25" outlineLevel="3" x14ac:dyDescent="0.2">
      <c r="B7672" s="14" t="s">
        <v>14470</v>
      </c>
      <c r="C7672" s="14" t="s">
        <v>14471</v>
      </c>
      <c r="D7672" s="14">
        <v>1</v>
      </c>
      <c r="E7672" s="17">
        <v>1073</v>
      </c>
      <c r="F7672" s="16" t="s">
        <v>8</v>
      </c>
      <c r="G7672" s="38" t="str">
        <f>HYPERLINK("http://enext.ua/4328")</f>
        <v>http://enext.ua/4328</v>
      </c>
    </row>
    <row r="7673" spans="2:7" ht="11.25" outlineLevel="3" x14ac:dyDescent="0.2">
      <c r="B7673" s="14" t="s">
        <v>14472</v>
      </c>
      <c r="C7673" s="14" t="s">
        <v>14473</v>
      </c>
      <c r="D7673" s="14">
        <v>1</v>
      </c>
      <c r="E7673" s="17">
        <v>1182.5</v>
      </c>
      <c r="F7673" s="16" t="s">
        <v>8</v>
      </c>
      <c r="G7673" s="38" t="str">
        <f>HYPERLINK("http://enext.ua/4329")</f>
        <v>http://enext.ua/4329</v>
      </c>
    </row>
    <row r="7674" spans="2:7" ht="11.25" outlineLevel="3" x14ac:dyDescent="0.2">
      <c r="B7674" s="14" t="s">
        <v>14474</v>
      </c>
      <c r="C7674" s="14" t="s">
        <v>14475</v>
      </c>
      <c r="D7674" s="14">
        <v>1</v>
      </c>
      <c r="E7674" s="15">
        <v>310</v>
      </c>
      <c r="F7674" s="16" t="s">
        <v>8</v>
      </c>
      <c r="G7674" s="38" t="str">
        <f>HYPERLINK("http://enext.ua/4332")</f>
        <v>http://enext.ua/4332</v>
      </c>
    </row>
    <row r="7675" spans="2:7" ht="11.25" outlineLevel="3" x14ac:dyDescent="0.2">
      <c r="B7675" s="14" t="s">
        <v>14476</v>
      </c>
      <c r="C7675" s="14" t="s">
        <v>14477</v>
      </c>
      <c r="D7675" s="14">
        <v>1</v>
      </c>
      <c r="E7675" s="15">
        <v>495</v>
      </c>
      <c r="F7675" s="16" t="s">
        <v>8</v>
      </c>
      <c r="G7675" s="38" t="str">
        <f>HYPERLINK("http://enext.ua/4331")</f>
        <v>http://enext.ua/4331</v>
      </c>
    </row>
    <row r="7676" spans="2:7" ht="11.25" outlineLevel="3" x14ac:dyDescent="0.2">
      <c r="B7676" s="14" t="s">
        <v>14478</v>
      </c>
      <c r="C7676" s="14" t="s">
        <v>14479</v>
      </c>
      <c r="D7676" s="14">
        <v>1</v>
      </c>
      <c r="E7676" s="15">
        <v>753.5</v>
      </c>
      <c r="F7676" s="16" t="s">
        <v>8</v>
      </c>
      <c r="G7676" s="38" t="str">
        <f>HYPERLINK("http://enext.ua/4335")</f>
        <v>http://enext.ua/4335</v>
      </c>
    </row>
    <row r="7677" spans="2:7" ht="11.25" outlineLevel="3" x14ac:dyDescent="0.2">
      <c r="B7677" s="14" t="s">
        <v>14480</v>
      </c>
      <c r="C7677" s="14" t="s">
        <v>14481</v>
      </c>
      <c r="D7677" s="14">
        <v>1</v>
      </c>
      <c r="E7677" s="15">
        <v>825</v>
      </c>
      <c r="F7677" s="16" t="s">
        <v>8</v>
      </c>
      <c r="G7677" s="38" t="str">
        <f>HYPERLINK("http://enext.ua/4324")</f>
        <v>http://enext.ua/4324</v>
      </c>
    </row>
    <row r="7678" spans="2:7" ht="11.25" outlineLevel="3" x14ac:dyDescent="0.2">
      <c r="B7678" s="14" t="s">
        <v>14482</v>
      </c>
      <c r="C7678" s="14" t="s">
        <v>14483</v>
      </c>
      <c r="D7678" s="14">
        <v>1</v>
      </c>
      <c r="E7678" s="17">
        <v>1073</v>
      </c>
      <c r="F7678" s="16" t="s">
        <v>8</v>
      </c>
      <c r="G7678" s="38" t="str">
        <f>HYPERLINK("http://enext.ua/4325")</f>
        <v>http://enext.ua/4325</v>
      </c>
    </row>
    <row r="7679" spans="2:7" ht="11.25" outlineLevel="3" x14ac:dyDescent="0.2">
      <c r="B7679" s="14" t="s">
        <v>14484</v>
      </c>
      <c r="C7679" s="14" t="s">
        <v>14485</v>
      </c>
      <c r="D7679" s="14">
        <v>1</v>
      </c>
      <c r="E7679" s="17">
        <v>1182.5</v>
      </c>
      <c r="F7679" s="16" t="s">
        <v>8</v>
      </c>
      <c r="G7679" s="38" t="str">
        <f>HYPERLINK("http://enext.ua/4326")</f>
        <v>http://enext.ua/4326</v>
      </c>
    </row>
    <row r="7680" spans="2:7" ht="11.25" outlineLevel="3" x14ac:dyDescent="0.2">
      <c r="B7680" s="14" t="s">
        <v>14486</v>
      </c>
      <c r="C7680" s="14" t="s">
        <v>14487</v>
      </c>
      <c r="D7680" s="14">
        <v>1</v>
      </c>
      <c r="E7680" s="15">
        <v>310</v>
      </c>
      <c r="F7680" s="16" t="s">
        <v>8</v>
      </c>
      <c r="G7680" s="38" t="str">
        <f>HYPERLINK("http://enext.ua/4333")</f>
        <v>http://enext.ua/4333</v>
      </c>
    </row>
    <row r="7681" spans="2:7" ht="11.25" outlineLevel="3" x14ac:dyDescent="0.2">
      <c r="B7681" s="14" t="s">
        <v>14488</v>
      </c>
      <c r="C7681" s="14" t="s">
        <v>14489</v>
      </c>
      <c r="D7681" s="14">
        <v>1</v>
      </c>
      <c r="E7681" s="15">
        <v>495</v>
      </c>
      <c r="F7681" s="16" t="s">
        <v>8</v>
      </c>
      <c r="G7681" s="38" t="str">
        <f>HYPERLINK("http://enext.ua/4334")</f>
        <v>http://enext.ua/4334</v>
      </c>
    </row>
    <row r="7682" spans="2:7" ht="11.25" outlineLevel="3" x14ac:dyDescent="0.2">
      <c r="B7682" s="14" t="s">
        <v>14490</v>
      </c>
      <c r="C7682" s="14" t="s">
        <v>14491</v>
      </c>
      <c r="D7682" s="14">
        <v>1</v>
      </c>
      <c r="E7682" s="15">
        <v>753.5</v>
      </c>
      <c r="F7682" s="16" t="s">
        <v>8</v>
      </c>
      <c r="G7682" s="38" t="str">
        <f>HYPERLINK("http://enext.ua/4336")</f>
        <v>http://enext.ua/4336</v>
      </c>
    </row>
    <row r="7683" spans="2:7" ht="12" outlineLevel="2" x14ac:dyDescent="0.2">
      <c r="B7683" s="8"/>
      <c r="C7683" s="35" t="s">
        <v>14492</v>
      </c>
      <c r="D7683" s="8"/>
      <c r="E7683" s="9"/>
      <c r="F7683" s="9"/>
      <c r="G7683" s="8"/>
    </row>
    <row r="7684" spans="2:7" ht="11.25" outlineLevel="3" x14ac:dyDescent="0.2">
      <c r="B7684" s="14" t="s">
        <v>14493</v>
      </c>
      <c r="C7684" s="14" t="s">
        <v>14494</v>
      </c>
      <c r="D7684" s="14">
        <v>1</v>
      </c>
      <c r="E7684" s="17">
        <v>2750</v>
      </c>
      <c r="F7684" s="16" t="s">
        <v>8</v>
      </c>
      <c r="G7684" s="38" t="str">
        <f>HYPERLINK("http://enext.ua/5397")</f>
        <v>http://enext.ua/5397</v>
      </c>
    </row>
    <row r="7685" spans="2:7" ht="11.25" outlineLevel="3" x14ac:dyDescent="0.2">
      <c r="B7685" s="14" t="s">
        <v>14495</v>
      </c>
      <c r="C7685" s="14" t="s">
        <v>14496</v>
      </c>
      <c r="D7685" s="14">
        <v>1</v>
      </c>
      <c r="E7685" s="17">
        <v>2750</v>
      </c>
      <c r="F7685" s="16" t="s">
        <v>8</v>
      </c>
      <c r="G7685" s="38" t="str">
        <f>HYPERLINK("http://enext.ua/5412")</f>
        <v>http://enext.ua/5412</v>
      </c>
    </row>
    <row r="7686" spans="2:7" ht="12" outlineLevel="2" x14ac:dyDescent="0.2">
      <c r="B7686" s="8"/>
      <c r="C7686" s="35" t="s">
        <v>14497</v>
      </c>
      <c r="D7686" s="8"/>
      <c r="E7686" s="9"/>
      <c r="F7686" s="9"/>
      <c r="G7686" s="8"/>
    </row>
    <row r="7687" spans="2:7" ht="11.25" outlineLevel="3" x14ac:dyDescent="0.2">
      <c r="B7687" s="14" t="s">
        <v>14498</v>
      </c>
      <c r="C7687" s="14" t="s">
        <v>14499</v>
      </c>
      <c r="D7687" s="14">
        <v>1</v>
      </c>
      <c r="E7687" s="15">
        <v>479.17</v>
      </c>
      <c r="F7687" s="16" t="s">
        <v>8</v>
      </c>
      <c r="G7687" s="14"/>
    </row>
    <row r="7688" spans="2:7" ht="11.25" outlineLevel="3" x14ac:dyDescent="0.2">
      <c r="B7688" s="14" t="s">
        <v>14500</v>
      </c>
      <c r="C7688" s="14" t="s">
        <v>14501</v>
      </c>
      <c r="D7688" s="14">
        <v>1</v>
      </c>
      <c r="E7688" s="15">
        <v>438.28</v>
      </c>
      <c r="F7688" s="16" t="s">
        <v>8</v>
      </c>
      <c r="G7688" s="14"/>
    </row>
    <row r="7689" spans="2:7" ht="11.25" outlineLevel="3" x14ac:dyDescent="0.2">
      <c r="B7689" s="14" t="s">
        <v>14502</v>
      </c>
      <c r="C7689" s="14" t="s">
        <v>14503</v>
      </c>
      <c r="D7689" s="14">
        <v>1</v>
      </c>
      <c r="E7689" s="15">
        <v>479.17</v>
      </c>
      <c r="F7689" s="16" t="s">
        <v>8</v>
      </c>
      <c r="G7689" s="14"/>
    </row>
    <row r="7690" spans="2:7" ht="11.25" outlineLevel="3" x14ac:dyDescent="0.2">
      <c r="B7690" s="14" t="s">
        <v>14504</v>
      </c>
      <c r="C7690" s="14" t="s">
        <v>14505</v>
      </c>
      <c r="D7690" s="14">
        <v>1</v>
      </c>
      <c r="E7690" s="15">
        <v>438.28</v>
      </c>
      <c r="F7690" s="16" t="s">
        <v>8</v>
      </c>
      <c r="G7690" s="14"/>
    </row>
    <row r="7691" spans="2:7" ht="11.25" outlineLevel="3" x14ac:dyDescent="0.2">
      <c r="B7691" s="14" t="s">
        <v>14506</v>
      </c>
      <c r="C7691" s="14" t="s">
        <v>14507</v>
      </c>
      <c r="D7691" s="14">
        <v>1</v>
      </c>
      <c r="E7691" s="15">
        <v>479.17</v>
      </c>
      <c r="F7691" s="16" t="s">
        <v>8</v>
      </c>
      <c r="G7691" s="14"/>
    </row>
    <row r="7692" spans="2:7" ht="11.25" outlineLevel="3" x14ac:dyDescent="0.2">
      <c r="B7692" s="14" t="s">
        <v>14508</v>
      </c>
      <c r="C7692" s="14" t="s">
        <v>14509</v>
      </c>
      <c r="D7692" s="14">
        <v>1</v>
      </c>
      <c r="E7692" s="15">
        <v>438.28</v>
      </c>
      <c r="F7692" s="16" t="s">
        <v>8</v>
      </c>
      <c r="G7692" s="14"/>
    </row>
    <row r="7693" spans="2:7" ht="11.25" outlineLevel="3" x14ac:dyDescent="0.2">
      <c r="B7693" s="14" t="s">
        <v>14510</v>
      </c>
      <c r="C7693" s="14" t="s">
        <v>14511</v>
      </c>
      <c r="D7693" s="14">
        <v>1</v>
      </c>
      <c r="E7693" s="15">
        <v>479.17</v>
      </c>
      <c r="F7693" s="16" t="s">
        <v>8</v>
      </c>
      <c r="G7693" s="14"/>
    </row>
    <row r="7694" spans="2:7" ht="11.25" outlineLevel="3" x14ac:dyDescent="0.2">
      <c r="B7694" s="14" t="s">
        <v>14512</v>
      </c>
      <c r="C7694" s="14" t="s">
        <v>14513</v>
      </c>
      <c r="D7694" s="14">
        <v>1</v>
      </c>
      <c r="E7694" s="15">
        <v>664.44</v>
      </c>
      <c r="F7694" s="16" t="s">
        <v>8</v>
      </c>
      <c r="G7694" s="14"/>
    </row>
    <row r="7695" spans="2:7" ht="11.25" outlineLevel="3" x14ac:dyDescent="0.2">
      <c r="B7695" s="14" t="s">
        <v>14514</v>
      </c>
      <c r="C7695" s="14" t="s">
        <v>14515</v>
      </c>
      <c r="D7695" s="14">
        <v>1</v>
      </c>
      <c r="E7695" s="15">
        <v>715.56</v>
      </c>
      <c r="F7695" s="16" t="s">
        <v>8</v>
      </c>
      <c r="G7695" s="14"/>
    </row>
    <row r="7696" spans="2:7" ht="11.25" outlineLevel="3" x14ac:dyDescent="0.2">
      <c r="B7696" s="14" t="s">
        <v>14516</v>
      </c>
      <c r="C7696" s="14" t="s">
        <v>14517</v>
      </c>
      <c r="D7696" s="14">
        <v>1</v>
      </c>
      <c r="E7696" s="15">
        <v>438.28</v>
      </c>
      <c r="F7696" s="16" t="s">
        <v>8</v>
      </c>
      <c r="G7696" s="14"/>
    </row>
    <row r="7697" spans="2:7" ht="11.25" outlineLevel="3" x14ac:dyDescent="0.2">
      <c r="B7697" s="14" t="s">
        <v>14518</v>
      </c>
      <c r="C7697" s="14" t="s">
        <v>14519</v>
      </c>
      <c r="D7697" s="14">
        <v>1</v>
      </c>
      <c r="E7697" s="15">
        <v>479.17</v>
      </c>
      <c r="F7697" s="16" t="s">
        <v>8</v>
      </c>
      <c r="G7697" s="14"/>
    </row>
    <row r="7698" spans="2:7" ht="11.25" outlineLevel="3" x14ac:dyDescent="0.2">
      <c r="B7698" s="14" t="s">
        <v>14520</v>
      </c>
      <c r="C7698" s="14" t="s">
        <v>14521</v>
      </c>
      <c r="D7698" s="14">
        <v>1</v>
      </c>
      <c r="E7698" s="15">
        <v>438.28</v>
      </c>
      <c r="F7698" s="16" t="s">
        <v>8</v>
      </c>
      <c r="G7698" s="14"/>
    </row>
    <row r="7699" spans="2:7" ht="11.25" outlineLevel="3" x14ac:dyDescent="0.2">
      <c r="B7699" s="14" t="s">
        <v>14522</v>
      </c>
      <c r="C7699" s="14" t="s">
        <v>14523</v>
      </c>
      <c r="D7699" s="14">
        <v>1</v>
      </c>
      <c r="E7699" s="15">
        <v>479.17</v>
      </c>
      <c r="F7699" s="16" t="s">
        <v>8</v>
      </c>
      <c r="G7699" s="14"/>
    </row>
    <row r="7700" spans="2:7" ht="11.25" outlineLevel="3" x14ac:dyDescent="0.2">
      <c r="B7700" s="14" t="s">
        <v>14524</v>
      </c>
      <c r="C7700" s="14" t="s">
        <v>14525</v>
      </c>
      <c r="D7700" s="14">
        <v>1</v>
      </c>
      <c r="E7700" s="15">
        <v>715.56</v>
      </c>
      <c r="F7700" s="16" t="s">
        <v>8</v>
      </c>
      <c r="G7700" s="14"/>
    </row>
    <row r="7701" spans="2:7" ht="11.25" outlineLevel="3" x14ac:dyDescent="0.2">
      <c r="B7701" s="14" t="s">
        <v>14526</v>
      </c>
      <c r="C7701" s="14" t="s">
        <v>14527</v>
      </c>
      <c r="D7701" s="14">
        <v>1</v>
      </c>
      <c r="E7701" s="15">
        <v>664.44</v>
      </c>
      <c r="F7701" s="16" t="s">
        <v>8</v>
      </c>
      <c r="G7701" s="14"/>
    </row>
    <row r="7702" spans="2:7" ht="22.5" outlineLevel="3" x14ac:dyDescent="0.2">
      <c r="B7702" s="14" t="s">
        <v>14528</v>
      </c>
      <c r="C7702" s="14" t="s">
        <v>14529</v>
      </c>
      <c r="D7702" s="14">
        <v>1</v>
      </c>
      <c r="E7702" s="15">
        <v>715.56</v>
      </c>
      <c r="F7702" s="16" t="s">
        <v>8</v>
      </c>
      <c r="G7702" s="14"/>
    </row>
    <row r="7703" spans="2:7" ht="22.5" outlineLevel="3" x14ac:dyDescent="0.2">
      <c r="B7703" s="14" t="s">
        <v>14530</v>
      </c>
      <c r="C7703" s="14" t="s">
        <v>14531</v>
      </c>
      <c r="D7703" s="14">
        <v>1</v>
      </c>
      <c r="E7703" s="17">
        <v>1058.1300000000001</v>
      </c>
      <c r="F7703" s="16" t="s">
        <v>8</v>
      </c>
      <c r="G7703" s="14"/>
    </row>
    <row r="7704" spans="2:7" ht="12" outlineLevel="1" x14ac:dyDescent="0.2">
      <c r="B7704" s="6"/>
      <c r="C7704" s="34" t="s">
        <v>14532</v>
      </c>
      <c r="D7704" s="6"/>
      <c r="E7704" s="7"/>
      <c r="F7704" s="7"/>
      <c r="G7704" s="6"/>
    </row>
    <row r="7705" spans="2:7" ht="12" outlineLevel="2" x14ac:dyDescent="0.2">
      <c r="B7705" s="8"/>
      <c r="C7705" s="35" t="s">
        <v>14533</v>
      </c>
      <c r="D7705" s="8"/>
      <c r="E7705" s="9"/>
      <c r="F7705" s="9"/>
      <c r="G7705" s="8"/>
    </row>
    <row r="7706" spans="2:7" ht="11.25" outlineLevel="3" x14ac:dyDescent="0.2">
      <c r="B7706" s="14" t="s">
        <v>14534</v>
      </c>
      <c r="C7706" s="14" t="s">
        <v>14535</v>
      </c>
      <c r="D7706" s="14">
        <v>1</v>
      </c>
      <c r="E7706" s="15">
        <v>10</v>
      </c>
      <c r="F7706" s="16" t="s">
        <v>4214</v>
      </c>
      <c r="G7706" s="38" t="str">
        <f>HYPERLINK("http://enext.ua/cab0050066")</f>
        <v>http://enext.ua/cab0050066</v>
      </c>
    </row>
    <row r="7707" spans="2:7" ht="11.25" outlineLevel="3" x14ac:dyDescent="0.2">
      <c r="B7707" s="14" t="s">
        <v>14536</v>
      </c>
      <c r="C7707" s="14" t="s">
        <v>14537</v>
      </c>
      <c r="D7707" s="14">
        <v>1</v>
      </c>
      <c r="E7707" s="15">
        <v>15</v>
      </c>
      <c r="F7707" s="16" t="s">
        <v>4214</v>
      </c>
      <c r="G7707" s="38" t="str">
        <f>HYPERLINK("http://enext.ua/cab0050067")</f>
        <v>http://enext.ua/cab0050067</v>
      </c>
    </row>
    <row r="7708" spans="2:7" ht="11.25" outlineLevel="3" x14ac:dyDescent="0.2">
      <c r="B7708" s="14" t="s">
        <v>14538</v>
      </c>
      <c r="C7708" s="14" t="s">
        <v>14539</v>
      </c>
      <c r="D7708" s="14">
        <v>1</v>
      </c>
      <c r="E7708" s="15">
        <v>9.1999999999999993</v>
      </c>
      <c r="F7708" s="16" t="s">
        <v>4214</v>
      </c>
      <c r="G7708" s="14"/>
    </row>
    <row r="7709" spans="2:7" ht="11.25" outlineLevel="3" x14ac:dyDescent="0.2">
      <c r="B7709" s="14" t="s">
        <v>14540</v>
      </c>
      <c r="C7709" s="14" t="s">
        <v>14541</v>
      </c>
      <c r="D7709" s="14">
        <v>1</v>
      </c>
      <c r="E7709" s="15">
        <v>16.61</v>
      </c>
      <c r="F7709" s="16" t="s">
        <v>4214</v>
      </c>
      <c r="G7709" s="14"/>
    </row>
    <row r="7710" spans="2:7" ht="11.25" outlineLevel="3" x14ac:dyDescent="0.2">
      <c r="B7710" s="14" t="s">
        <v>14542</v>
      </c>
      <c r="C7710" s="14" t="s">
        <v>14543</v>
      </c>
      <c r="D7710" s="14">
        <v>1</v>
      </c>
      <c r="E7710" s="15">
        <v>14.83</v>
      </c>
      <c r="F7710" s="16" t="s">
        <v>4214</v>
      </c>
      <c r="G7710" s="38" t="str">
        <f>HYPERLINK("http://enext.ua/cab0030081")</f>
        <v>http://enext.ua/cab0030081</v>
      </c>
    </row>
    <row r="7711" spans="2:7" ht="11.25" outlineLevel="3" x14ac:dyDescent="0.2">
      <c r="B7711" s="14" t="s">
        <v>14544</v>
      </c>
      <c r="C7711" s="14" t="s">
        <v>14545</v>
      </c>
      <c r="D7711" s="14">
        <v>1</v>
      </c>
      <c r="E7711" s="15">
        <v>23.97</v>
      </c>
      <c r="F7711" s="16" t="s">
        <v>4214</v>
      </c>
      <c r="G7711" s="38" t="str">
        <f>HYPERLINK("http://enext.ua/cab0030076")</f>
        <v>http://enext.ua/cab0030076</v>
      </c>
    </row>
    <row r="7712" spans="2:7" ht="11.25" outlineLevel="3" x14ac:dyDescent="0.2">
      <c r="B7712" s="14" t="s">
        <v>14546</v>
      </c>
      <c r="C7712" s="14" t="s">
        <v>14547</v>
      </c>
      <c r="D7712" s="14">
        <v>1</v>
      </c>
      <c r="E7712" s="15">
        <v>3.3</v>
      </c>
      <c r="F7712" s="16" t="s">
        <v>4214</v>
      </c>
      <c r="G7712" s="38" t="str">
        <f>HYPERLINK("http://enext.ua/cab0010110")</f>
        <v>http://enext.ua/cab0010110</v>
      </c>
    </row>
    <row r="7713" spans="2:7" ht="11.25" outlineLevel="3" x14ac:dyDescent="0.2">
      <c r="B7713" s="14" t="s">
        <v>14548</v>
      </c>
      <c r="C7713" s="14" t="s">
        <v>14549</v>
      </c>
      <c r="D7713" s="14">
        <v>1</v>
      </c>
      <c r="E7713" s="15">
        <v>6.67</v>
      </c>
      <c r="F7713" s="16" t="s">
        <v>4214</v>
      </c>
      <c r="G7713" s="38" t="str">
        <f>HYPERLINK("http://enext.ua/cab0010017")</f>
        <v>http://enext.ua/cab0010017</v>
      </c>
    </row>
    <row r="7714" spans="2:7" ht="11.25" outlineLevel="3" x14ac:dyDescent="0.2">
      <c r="B7714" s="14" t="s">
        <v>14550</v>
      </c>
      <c r="C7714" s="14" t="s">
        <v>14551</v>
      </c>
      <c r="D7714" s="14">
        <v>1</v>
      </c>
      <c r="E7714" s="15">
        <v>8.2799999999999994</v>
      </c>
      <c r="F7714" s="16" t="s">
        <v>4214</v>
      </c>
      <c r="G7714" s="38" t="str">
        <f>HYPERLINK("http://enext.ua/cab0010050")</f>
        <v>http://enext.ua/cab0010050</v>
      </c>
    </row>
    <row r="7715" spans="2:7" ht="11.25" outlineLevel="3" x14ac:dyDescent="0.2">
      <c r="B7715" s="14" t="s">
        <v>14552</v>
      </c>
      <c r="C7715" s="14" t="s">
        <v>14553</v>
      </c>
      <c r="D7715" s="14">
        <v>1</v>
      </c>
      <c r="E7715" s="15">
        <v>10.92</v>
      </c>
      <c r="F7715" s="16" t="s">
        <v>4214</v>
      </c>
      <c r="G7715" s="38" t="str">
        <f>HYPERLINK("http://enext.ua/cab0010010")</f>
        <v>http://enext.ua/cab0010010</v>
      </c>
    </row>
    <row r="7716" spans="2:7" ht="11.25" outlineLevel="3" x14ac:dyDescent="0.2">
      <c r="B7716" s="14" t="s">
        <v>14554</v>
      </c>
      <c r="C7716" s="14" t="s">
        <v>14555</v>
      </c>
      <c r="D7716" s="14">
        <v>1</v>
      </c>
      <c r="E7716" s="15">
        <v>18.05</v>
      </c>
      <c r="F7716" s="16" t="s">
        <v>4214</v>
      </c>
      <c r="G7716" s="38" t="str">
        <f>HYPERLINK("http://enext.ua/cab0010011")</f>
        <v>http://enext.ua/cab0010011</v>
      </c>
    </row>
    <row r="7717" spans="2:7" ht="11.25" outlineLevel="3" x14ac:dyDescent="0.2">
      <c r="B7717" s="14" t="s">
        <v>14556</v>
      </c>
      <c r="C7717" s="14" t="s">
        <v>14557</v>
      </c>
      <c r="D7717" s="14">
        <v>1</v>
      </c>
      <c r="E7717" s="15">
        <v>9.6</v>
      </c>
      <c r="F7717" s="16" t="s">
        <v>4214</v>
      </c>
      <c r="G7717" s="38" t="str">
        <f>HYPERLINK("http://enext.ua/cab0010019")</f>
        <v>http://enext.ua/cab0010019</v>
      </c>
    </row>
    <row r="7718" spans="2:7" ht="11.25" outlineLevel="3" x14ac:dyDescent="0.2">
      <c r="B7718" s="14" t="s">
        <v>14558</v>
      </c>
      <c r="C7718" s="14" t="s">
        <v>14559</v>
      </c>
      <c r="D7718" s="14">
        <v>1</v>
      </c>
      <c r="E7718" s="15">
        <v>11.72</v>
      </c>
      <c r="F7718" s="16" t="s">
        <v>4214</v>
      </c>
      <c r="G7718" s="38" t="str">
        <f>HYPERLINK("http://enext.ua/cab0010077")</f>
        <v>http://enext.ua/cab0010077</v>
      </c>
    </row>
    <row r="7719" spans="2:7" ht="11.25" outlineLevel="3" x14ac:dyDescent="0.2">
      <c r="B7719" s="14" t="s">
        <v>14560</v>
      </c>
      <c r="C7719" s="14" t="s">
        <v>14561</v>
      </c>
      <c r="D7719" s="14">
        <v>1</v>
      </c>
      <c r="E7719" s="15">
        <v>15.29</v>
      </c>
      <c r="F7719" s="16" t="s">
        <v>4214</v>
      </c>
      <c r="G7719" s="38" t="str">
        <f>HYPERLINK("http://enext.ua/cab0010012")</f>
        <v>http://enext.ua/cab0010012</v>
      </c>
    </row>
    <row r="7720" spans="2:7" ht="11.25" outlineLevel="3" x14ac:dyDescent="0.2">
      <c r="B7720" s="14" t="s">
        <v>14562</v>
      </c>
      <c r="C7720" s="14" t="s">
        <v>14563</v>
      </c>
      <c r="D7720" s="14">
        <v>1</v>
      </c>
      <c r="E7720" s="15">
        <v>24.83</v>
      </c>
      <c r="F7720" s="16" t="s">
        <v>4214</v>
      </c>
      <c r="G7720" s="38" t="str">
        <f>HYPERLINK("http://enext.ua/cab0010002")</f>
        <v>http://enext.ua/cab0010002</v>
      </c>
    </row>
    <row r="7721" spans="2:7" ht="11.25" outlineLevel="3" x14ac:dyDescent="0.2">
      <c r="B7721" s="14" t="s">
        <v>14564</v>
      </c>
      <c r="C7721" s="14" t="s">
        <v>14565</v>
      </c>
      <c r="D7721" s="14">
        <v>1</v>
      </c>
      <c r="E7721" s="15">
        <v>42.53</v>
      </c>
      <c r="F7721" s="16" t="s">
        <v>4214</v>
      </c>
      <c r="G7721" s="14"/>
    </row>
    <row r="7722" spans="2:7" ht="11.25" outlineLevel="3" x14ac:dyDescent="0.2">
      <c r="B7722" s="14" t="s">
        <v>14566</v>
      </c>
      <c r="C7722" s="14" t="s">
        <v>14567</v>
      </c>
      <c r="D7722" s="14">
        <v>1</v>
      </c>
      <c r="E7722" s="15">
        <v>52.47</v>
      </c>
      <c r="F7722" s="16" t="s">
        <v>4214</v>
      </c>
      <c r="G7722" s="14"/>
    </row>
    <row r="7723" spans="2:7" ht="11.25" outlineLevel="3" x14ac:dyDescent="0.2">
      <c r="B7723" s="14" t="s">
        <v>14568</v>
      </c>
      <c r="C7723" s="14" t="s">
        <v>14569</v>
      </c>
      <c r="D7723" s="14">
        <v>1</v>
      </c>
      <c r="E7723" s="15">
        <v>2.4</v>
      </c>
      <c r="F7723" s="16" t="s">
        <v>4214</v>
      </c>
      <c r="G7723" s="38" t="str">
        <f>HYPERLINK("http://enext.ua/cab0130006")</f>
        <v>http://enext.ua/cab0130006</v>
      </c>
    </row>
    <row r="7724" spans="2:7" ht="11.25" outlineLevel="3" x14ac:dyDescent="0.2">
      <c r="B7724" s="14" t="s">
        <v>14570</v>
      </c>
      <c r="C7724" s="14" t="s">
        <v>14571</v>
      </c>
      <c r="D7724" s="14">
        <v>1</v>
      </c>
      <c r="E7724" s="15">
        <v>5.29</v>
      </c>
      <c r="F7724" s="16" t="s">
        <v>4214</v>
      </c>
      <c r="G7724" s="38" t="str">
        <f>HYPERLINK("http://enext.ua/cab0010026")</f>
        <v>http://enext.ua/cab0010026</v>
      </c>
    </row>
    <row r="7725" spans="2:7" ht="11.25" outlineLevel="3" x14ac:dyDescent="0.2">
      <c r="B7725" s="14" t="s">
        <v>14572</v>
      </c>
      <c r="C7725" s="14" t="s">
        <v>14573</v>
      </c>
      <c r="D7725" s="14">
        <v>1</v>
      </c>
      <c r="E7725" s="15">
        <v>7.36</v>
      </c>
      <c r="F7725" s="16" t="s">
        <v>4214</v>
      </c>
      <c r="G7725" s="38" t="str">
        <f>HYPERLINK("http://enext.ua/cab0130001")</f>
        <v>http://enext.ua/cab0130001</v>
      </c>
    </row>
    <row r="7726" spans="2:7" ht="11.25" outlineLevel="3" x14ac:dyDescent="0.2">
      <c r="B7726" s="14" t="s">
        <v>14574</v>
      </c>
      <c r="C7726" s="14" t="s">
        <v>14575</v>
      </c>
      <c r="D7726" s="14">
        <v>1</v>
      </c>
      <c r="E7726" s="15">
        <v>10.86</v>
      </c>
      <c r="F7726" s="16" t="s">
        <v>4214</v>
      </c>
      <c r="G7726" s="38" t="str">
        <f>HYPERLINK("http://enext.ua/cab0130003")</f>
        <v>http://enext.ua/cab0130003</v>
      </c>
    </row>
    <row r="7727" spans="2:7" ht="11.25" outlineLevel="3" x14ac:dyDescent="0.2">
      <c r="B7727" s="14" t="s">
        <v>14576</v>
      </c>
      <c r="C7727" s="14" t="s">
        <v>14577</v>
      </c>
      <c r="D7727" s="14">
        <v>1</v>
      </c>
      <c r="E7727" s="15">
        <v>16.32</v>
      </c>
      <c r="F7727" s="16" t="s">
        <v>4214</v>
      </c>
      <c r="G7727" s="38" t="str">
        <f>HYPERLINK("http://enext.ua/cab0130005")</f>
        <v>http://enext.ua/cab0130005</v>
      </c>
    </row>
    <row r="7728" spans="2:7" ht="11.25" outlineLevel="3" x14ac:dyDescent="0.2">
      <c r="B7728" s="14" t="s">
        <v>14578</v>
      </c>
      <c r="C7728" s="14" t="s">
        <v>14579</v>
      </c>
      <c r="D7728" s="14">
        <v>1</v>
      </c>
      <c r="E7728" s="15">
        <v>6.99</v>
      </c>
      <c r="F7728" s="16" t="s">
        <v>4214</v>
      </c>
      <c r="G7728" s="14"/>
    </row>
    <row r="7729" spans="2:7" ht="11.25" outlineLevel="3" x14ac:dyDescent="0.2">
      <c r="B7729" s="14" t="s">
        <v>14580</v>
      </c>
      <c r="C7729" s="14" t="s">
        <v>14581</v>
      </c>
      <c r="D7729" s="14">
        <v>1</v>
      </c>
      <c r="E7729" s="15">
        <v>10.29</v>
      </c>
      <c r="F7729" s="16" t="s">
        <v>4214</v>
      </c>
      <c r="G7729" s="38" t="str">
        <f>HYPERLINK("http://enext.ua/cab0130007")</f>
        <v>http://enext.ua/cab0130007</v>
      </c>
    </row>
    <row r="7730" spans="2:7" ht="11.25" outlineLevel="3" x14ac:dyDescent="0.2">
      <c r="B7730" s="14" t="s">
        <v>14582</v>
      </c>
      <c r="C7730" s="14" t="s">
        <v>14583</v>
      </c>
      <c r="D7730" s="14">
        <v>1</v>
      </c>
      <c r="E7730" s="15">
        <v>15.23</v>
      </c>
      <c r="F7730" s="16" t="s">
        <v>4214</v>
      </c>
      <c r="G7730" s="38" t="str">
        <f>HYPERLINK("http://enext.ua/cab0130002")</f>
        <v>http://enext.ua/cab0130002</v>
      </c>
    </row>
    <row r="7731" spans="2:7" ht="11.25" outlineLevel="3" x14ac:dyDescent="0.2">
      <c r="B7731" s="14" t="s">
        <v>14584</v>
      </c>
      <c r="C7731" s="14" t="s">
        <v>14585</v>
      </c>
      <c r="D7731" s="14">
        <v>1</v>
      </c>
      <c r="E7731" s="15">
        <v>22.76</v>
      </c>
      <c r="F7731" s="16" t="s">
        <v>4214</v>
      </c>
      <c r="G7731" s="38" t="str">
        <f>HYPERLINK("http://enext.ua/cab0010060")</f>
        <v>http://enext.ua/cab0010060</v>
      </c>
    </row>
    <row r="7732" spans="2:7" ht="12" outlineLevel="2" x14ac:dyDescent="0.2">
      <c r="B7732" s="8"/>
      <c r="C7732" s="35" t="s">
        <v>14586</v>
      </c>
      <c r="D7732" s="8"/>
      <c r="E7732" s="9"/>
      <c r="F7732" s="9"/>
      <c r="G7732" s="8"/>
    </row>
    <row r="7733" spans="2:7" ht="12" outlineLevel="3" x14ac:dyDescent="0.2">
      <c r="B7733" s="10"/>
      <c r="C7733" s="36" t="s">
        <v>14587</v>
      </c>
      <c r="D7733" s="10"/>
      <c r="E7733" s="11"/>
      <c r="F7733" s="11"/>
      <c r="G7733" s="10"/>
    </row>
    <row r="7734" spans="2:7" ht="11.25" outlineLevel="4" x14ac:dyDescent="0.2">
      <c r="B7734" s="14" t="s">
        <v>14588</v>
      </c>
      <c r="C7734" s="14" t="s">
        <v>14589</v>
      </c>
      <c r="D7734" s="14">
        <v>1</v>
      </c>
      <c r="E7734" s="15">
        <v>5.0599999999999996</v>
      </c>
      <c r="F7734" s="16" t="s">
        <v>4214</v>
      </c>
      <c r="G7734" s="38" t="str">
        <f>HYPERLINK("http://enext.ua/cab0030035")</f>
        <v>http://enext.ua/cab0030035</v>
      </c>
    </row>
    <row r="7735" spans="2:7" ht="11.25" outlineLevel="4" x14ac:dyDescent="0.2">
      <c r="B7735" s="14" t="s">
        <v>14590</v>
      </c>
      <c r="C7735" s="14" t="s">
        <v>14591</v>
      </c>
      <c r="D7735" s="14">
        <v>1</v>
      </c>
      <c r="E7735" s="15">
        <v>8.25</v>
      </c>
      <c r="F7735" s="16" t="s">
        <v>4214</v>
      </c>
      <c r="G7735" s="38" t="str">
        <f>HYPERLINK("http://enext.ua/cab0140013")</f>
        <v>http://enext.ua/cab0140013</v>
      </c>
    </row>
    <row r="7736" spans="2:7" ht="12" outlineLevel="3" x14ac:dyDescent="0.2">
      <c r="B7736" s="10"/>
      <c r="C7736" s="36" t="s">
        <v>14592</v>
      </c>
      <c r="D7736" s="10"/>
      <c r="E7736" s="11"/>
      <c r="F7736" s="11"/>
      <c r="G7736" s="10"/>
    </row>
    <row r="7737" spans="2:7" ht="11.25" outlineLevel="4" x14ac:dyDescent="0.2">
      <c r="B7737" s="14" t="s">
        <v>14593</v>
      </c>
      <c r="C7737" s="14" t="s">
        <v>14594</v>
      </c>
      <c r="D7737" s="14">
        <v>1</v>
      </c>
      <c r="E7737" s="15">
        <v>7.4</v>
      </c>
      <c r="F7737" s="16" t="s">
        <v>4214</v>
      </c>
      <c r="G7737" s="14"/>
    </row>
    <row r="7738" spans="2:7" ht="11.25" outlineLevel="4" x14ac:dyDescent="0.2">
      <c r="B7738" s="14" t="s">
        <v>14595</v>
      </c>
      <c r="C7738" s="14" t="s">
        <v>14596</v>
      </c>
      <c r="D7738" s="14">
        <v>1</v>
      </c>
      <c r="E7738" s="15">
        <v>13.73</v>
      </c>
      <c r="F7738" s="16" t="s">
        <v>4214</v>
      </c>
      <c r="G7738" s="14"/>
    </row>
    <row r="7739" spans="2:7" ht="11.25" outlineLevel="4" x14ac:dyDescent="0.2">
      <c r="B7739" s="14" t="s">
        <v>14597</v>
      </c>
      <c r="C7739" s="14" t="s">
        <v>14598</v>
      </c>
      <c r="D7739" s="14">
        <v>1</v>
      </c>
      <c r="E7739" s="15">
        <v>20.11</v>
      </c>
      <c r="F7739" s="16" t="s">
        <v>4214</v>
      </c>
      <c r="G7739" s="14"/>
    </row>
    <row r="7740" spans="2:7" ht="12" outlineLevel="3" x14ac:dyDescent="0.2">
      <c r="B7740" s="10"/>
      <c r="C7740" s="36" t="s">
        <v>14599</v>
      </c>
      <c r="D7740" s="10"/>
      <c r="E7740" s="11"/>
      <c r="F7740" s="11"/>
      <c r="G7740" s="10"/>
    </row>
    <row r="7741" spans="2:7" ht="11.25" outlineLevel="4" x14ac:dyDescent="0.2">
      <c r="B7741" s="14" t="s">
        <v>14600</v>
      </c>
      <c r="C7741" s="14" t="s">
        <v>14601</v>
      </c>
      <c r="D7741" s="14">
        <v>1</v>
      </c>
      <c r="E7741" s="15">
        <v>10.23</v>
      </c>
      <c r="F7741" s="16" t="s">
        <v>4214</v>
      </c>
      <c r="G7741" s="38" t="str">
        <f>HYPERLINK("http://enext.ua/cab0030079z")</f>
        <v>http://enext.ua/cab0030079z</v>
      </c>
    </row>
    <row r="7742" spans="2:7" ht="12" outlineLevel="2" x14ac:dyDescent="0.2">
      <c r="B7742" s="8"/>
      <c r="C7742" s="35" t="s">
        <v>14602</v>
      </c>
      <c r="D7742" s="8"/>
      <c r="E7742" s="9"/>
      <c r="F7742" s="9"/>
      <c r="G7742" s="8"/>
    </row>
    <row r="7743" spans="2:7" ht="11.25" outlineLevel="3" x14ac:dyDescent="0.2">
      <c r="B7743" s="14" t="s">
        <v>14603</v>
      </c>
      <c r="C7743" s="14" t="s">
        <v>14604</v>
      </c>
      <c r="D7743" s="14">
        <v>1</v>
      </c>
      <c r="E7743" s="15">
        <v>5.38</v>
      </c>
      <c r="F7743" s="16" t="s">
        <v>4214</v>
      </c>
      <c r="G7743" s="14"/>
    </row>
    <row r="7744" spans="2:7" ht="11.25" outlineLevel="3" x14ac:dyDescent="0.2">
      <c r="B7744" s="14" t="s">
        <v>14605</v>
      </c>
      <c r="C7744" s="14" t="s">
        <v>14606</v>
      </c>
      <c r="D7744" s="14">
        <v>1</v>
      </c>
      <c r="E7744" s="15">
        <v>6.81</v>
      </c>
      <c r="F7744" s="16" t="s">
        <v>4214</v>
      </c>
      <c r="G7744" s="14"/>
    </row>
    <row r="7745" spans="2:7" ht="12" outlineLevel="2" x14ac:dyDescent="0.2">
      <c r="B7745" s="8"/>
      <c r="C7745" s="35" t="s">
        <v>14607</v>
      </c>
      <c r="D7745" s="8"/>
      <c r="E7745" s="9"/>
      <c r="F7745" s="9"/>
      <c r="G7745" s="8"/>
    </row>
    <row r="7746" spans="2:7" ht="11.25" outlineLevel="3" x14ac:dyDescent="0.2">
      <c r="B7746" s="14" t="s">
        <v>14608</v>
      </c>
      <c r="C7746" s="14" t="s">
        <v>14609</v>
      </c>
      <c r="D7746" s="14">
        <v>1</v>
      </c>
      <c r="E7746" s="15">
        <v>24.89</v>
      </c>
      <c r="F7746" s="16" t="s">
        <v>4214</v>
      </c>
      <c r="G7746" s="38" t="str">
        <f>HYPERLINK("http://enext.ua/cab0200001")</f>
        <v>http://enext.ua/cab0200001</v>
      </c>
    </row>
    <row r="7747" spans="2:7" ht="11.25" outlineLevel="3" x14ac:dyDescent="0.2">
      <c r="B7747" s="14" t="s">
        <v>14610</v>
      </c>
      <c r="C7747" s="14" t="s">
        <v>14611</v>
      </c>
      <c r="D7747" s="14">
        <v>1</v>
      </c>
      <c r="E7747" s="15">
        <v>32.159999999999997</v>
      </c>
      <c r="F7747" s="16" t="s">
        <v>4214</v>
      </c>
      <c r="G7747" s="38" t="str">
        <f>HYPERLINK("http://enext.ua/cab0200002")</f>
        <v>http://enext.ua/cab0200002</v>
      </c>
    </row>
    <row r="7748" spans="2:7" ht="11.25" outlineLevel="3" x14ac:dyDescent="0.2">
      <c r="B7748" s="14" t="s">
        <v>14612</v>
      </c>
      <c r="C7748" s="14" t="s">
        <v>14613</v>
      </c>
      <c r="D7748" s="14">
        <v>1</v>
      </c>
      <c r="E7748" s="15">
        <v>54.29</v>
      </c>
      <c r="F7748" s="16" t="s">
        <v>4214</v>
      </c>
      <c r="G7748" s="38" t="str">
        <f>HYPERLINK("http://enext.ua/cab0200003")</f>
        <v>http://enext.ua/cab0200003</v>
      </c>
    </row>
    <row r="7749" spans="2:7" ht="11.25" outlineLevel="3" x14ac:dyDescent="0.2">
      <c r="B7749" s="14" t="s">
        <v>14614</v>
      </c>
      <c r="C7749" s="14" t="s">
        <v>14615</v>
      </c>
      <c r="D7749" s="14">
        <v>1</v>
      </c>
      <c r="E7749" s="15">
        <v>122.06</v>
      </c>
      <c r="F7749" s="16" t="s">
        <v>4214</v>
      </c>
      <c r="G7749" s="38" t="str">
        <f>HYPERLINK("http://enext.ua/cab0200004")</f>
        <v>http://enext.ua/cab0200004</v>
      </c>
    </row>
    <row r="7750" spans="2:7" ht="11.25" outlineLevel="3" x14ac:dyDescent="0.2">
      <c r="B7750" s="14" t="s">
        <v>14616</v>
      </c>
      <c r="C7750" s="14" t="s">
        <v>14617</v>
      </c>
      <c r="D7750" s="14">
        <v>1</v>
      </c>
      <c r="E7750" s="15">
        <v>185.69</v>
      </c>
      <c r="F7750" s="16" t="s">
        <v>4214</v>
      </c>
      <c r="G7750" s="38" t="str">
        <f>HYPERLINK("http://enext.ua/cab0200005")</f>
        <v>http://enext.ua/cab0200005</v>
      </c>
    </row>
    <row r="7751" spans="2:7" ht="12" outlineLevel="2" x14ac:dyDescent="0.2">
      <c r="B7751" s="8"/>
      <c r="C7751" s="35" t="s">
        <v>14618</v>
      </c>
      <c r="D7751" s="8"/>
      <c r="E7751" s="9"/>
      <c r="F7751" s="9"/>
      <c r="G7751" s="8"/>
    </row>
    <row r="7752" spans="2:7" ht="11.25" outlineLevel="3" x14ac:dyDescent="0.2">
      <c r="B7752" s="14" t="s">
        <v>14619</v>
      </c>
      <c r="C7752" s="14" t="s">
        <v>14620</v>
      </c>
      <c r="D7752" s="14">
        <v>1</v>
      </c>
      <c r="E7752" s="15">
        <v>69.89</v>
      </c>
      <c r="F7752" s="16" t="s">
        <v>4214</v>
      </c>
      <c r="G7752" s="38" t="str">
        <f>HYPERLINK("http://enext.ua/саb0092263")</f>
        <v>http://enext.ua/саb0092263</v>
      </c>
    </row>
    <row r="7753" spans="2:7" ht="12" outlineLevel="2" x14ac:dyDescent="0.2">
      <c r="B7753" s="8"/>
      <c r="C7753" s="35" t="s">
        <v>14621</v>
      </c>
      <c r="D7753" s="8"/>
      <c r="E7753" s="9"/>
      <c r="F7753" s="9"/>
      <c r="G7753" s="8"/>
    </row>
    <row r="7754" spans="2:7" ht="12" outlineLevel="3" x14ac:dyDescent="0.2">
      <c r="B7754" s="10"/>
      <c r="C7754" s="36" t="s">
        <v>14622</v>
      </c>
      <c r="D7754" s="10"/>
      <c r="E7754" s="11"/>
      <c r="F7754" s="11"/>
      <c r="G7754" s="10"/>
    </row>
    <row r="7755" spans="2:7" ht="11.25" outlineLevel="4" x14ac:dyDescent="0.2">
      <c r="B7755" s="14" t="s">
        <v>14623</v>
      </c>
      <c r="C7755" s="14" t="s">
        <v>14624</v>
      </c>
      <c r="D7755" s="14">
        <v>1</v>
      </c>
      <c r="E7755" s="15">
        <v>123.95</v>
      </c>
      <c r="F7755" s="16" t="s">
        <v>4214</v>
      </c>
      <c r="G7755" s="38" t="str">
        <f>HYPERLINK("http://enext.ua/cab0270001")</f>
        <v>http://enext.ua/cab0270001</v>
      </c>
    </row>
    <row r="7756" spans="2:7" ht="11.25" outlineLevel="4" x14ac:dyDescent="0.2">
      <c r="B7756" s="14" t="s">
        <v>14625</v>
      </c>
      <c r="C7756" s="14" t="s">
        <v>14626</v>
      </c>
      <c r="D7756" s="14">
        <v>1</v>
      </c>
      <c r="E7756" s="15">
        <v>212.39</v>
      </c>
      <c r="F7756" s="16" t="s">
        <v>4214</v>
      </c>
      <c r="G7756" s="38" t="str">
        <f>HYPERLINK("http://enext.ua/cab0270002")</f>
        <v>http://enext.ua/cab0270002</v>
      </c>
    </row>
    <row r="7757" spans="2:7" ht="12" outlineLevel="3" x14ac:dyDescent="0.2">
      <c r="B7757" s="10"/>
      <c r="C7757" s="36" t="s">
        <v>14627</v>
      </c>
      <c r="D7757" s="10"/>
      <c r="E7757" s="11"/>
      <c r="F7757" s="11"/>
      <c r="G7757" s="10"/>
    </row>
    <row r="7758" spans="2:7" ht="11.25" outlineLevel="4" x14ac:dyDescent="0.2">
      <c r="B7758" s="14" t="s">
        <v>14628</v>
      </c>
      <c r="C7758" s="14" t="s">
        <v>14629</v>
      </c>
      <c r="D7758" s="14">
        <v>1</v>
      </c>
      <c r="E7758" s="15">
        <v>149.68</v>
      </c>
      <c r="F7758" s="16" t="s">
        <v>4214</v>
      </c>
      <c r="G7758" s="38" t="str">
        <f>HYPERLINK("http://enext.ua/cab0260001")</f>
        <v>http://enext.ua/cab0260001</v>
      </c>
    </row>
    <row r="7759" spans="2:7" ht="11.25" outlineLevel="4" x14ac:dyDescent="0.2">
      <c r="B7759" s="14" t="s">
        <v>14630</v>
      </c>
      <c r="C7759" s="14" t="s">
        <v>14631</v>
      </c>
      <c r="D7759" s="14">
        <v>1</v>
      </c>
      <c r="E7759" s="15">
        <v>239.41</v>
      </c>
      <c r="F7759" s="16" t="s">
        <v>4214</v>
      </c>
      <c r="G7759" s="38" t="str">
        <f>HYPERLINK("http://enext.ua/cab0260002")</f>
        <v>http://enext.ua/cab0260002</v>
      </c>
    </row>
    <row r="7760" spans="2:7" ht="12" outlineLevel="3" x14ac:dyDescent="0.2">
      <c r="B7760" s="10"/>
      <c r="C7760" s="36" t="s">
        <v>14632</v>
      </c>
      <c r="D7760" s="10"/>
      <c r="E7760" s="11"/>
      <c r="F7760" s="11"/>
      <c r="G7760" s="10"/>
    </row>
    <row r="7761" spans="2:7" ht="11.25" outlineLevel="4" x14ac:dyDescent="0.2">
      <c r="B7761" s="14" t="s">
        <v>14633</v>
      </c>
      <c r="C7761" s="14" t="s">
        <v>14634</v>
      </c>
      <c r="D7761" s="14">
        <v>1</v>
      </c>
      <c r="E7761" s="15">
        <v>44.58</v>
      </c>
      <c r="F7761" s="16" t="s">
        <v>4214</v>
      </c>
      <c r="G7761" s="38" t="str">
        <f>HYPERLINK("http://enext.ua/cab0250001")</f>
        <v>http://enext.ua/cab0250001</v>
      </c>
    </row>
    <row r="7762" spans="2:7" ht="11.25" outlineLevel="4" x14ac:dyDescent="0.2">
      <c r="B7762" s="14" t="s">
        <v>14635</v>
      </c>
      <c r="C7762" s="14" t="s">
        <v>14636</v>
      </c>
      <c r="D7762" s="14">
        <v>1</v>
      </c>
      <c r="E7762" s="15">
        <v>60.38</v>
      </c>
      <c r="F7762" s="16" t="s">
        <v>4214</v>
      </c>
      <c r="G7762" s="38" t="str">
        <f>HYPERLINK("http://enext.ua/cab0250002")</f>
        <v>http://enext.ua/cab0250002</v>
      </c>
    </row>
    <row r="7763" spans="2:7" ht="11.25" outlineLevel="4" x14ac:dyDescent="0.2">
      <c r="B7763" s="14" t="s">
        <v>14637</v>
      </c>
      <c r="C7763" s="14" t="s">
        <v>14638</v>
      </c>
      <c r="D7763" s="14">
        <v>1</v>
      </c>
      <c r="E7763" s="15">
        <v>85.84</v>
      </c>
      <c r="F7763" s="16" t="s">
        <v>4214</v>
      </c>
      <c r="G7763" s="38" t="str">
        <f>HYPERLINK("http://enext.ua/cab0250003")</f>
        <v>http://enext.ua/cab0250003</v>
      </c>
    </row>
    <row r="7764" spans="2:7" ht="11.25" outlineLevel="4" x14ac:dyDescent="0.2">
      <c r="B7764" s="14" t="s">
        <v>14639</v>
      </c>
      <c r="C7764" s="14" t="s">
        <v>14640</v>
      </c>
      <c r="D7764" s="14">
        <v>1</v>
      </c>
      <c r="E7764" s="15">
        <v>132.72999999999999</v>
      </c>
      <c r="F7764" s="16" t="s">
        <v>4214</v>
      </c>
      <c r="G7764" s="38" t="str">
        <f>HYPERLINK("http://enext.ua/cab0250004")</f>
        <v>http://enext.ua/cab0250004</v>
      </c>
    </row>
    <row r="7765" spans="2:7" ht="11.25" outlineLevel="4" x14ac:dyDescent="0.2">
      <c r="B7765" s="14" t="s">
        <v>14641</v>
      </c>
      <c r="C7765" s="14" t="s">
        <v>14642</v>
      </c>
      <c r="D7765" s="14">
        <v>1</v>
      </c>
      <c r="E7765" s="15">
        <v>169.17</v>
      </c>
      <c r="F7765" s="16" t="s">
        <v>4214</v>
      </c>
      <c r="G7765" s="14"/>
    </row>
    <row r="7766" spans="2:7" ht="12" outlineLevel="3" x14ac:dyDescent="0.2">
      <c r="B7766" s="10"/>
      <c r="C7766" s="36" t="s">
        <v>14643</v>
      </c>
      <c r="D7766" s="10"/>
      <c r="E7766" s="11"/>
      <c r="F7766" s="11"/>
      <c r="G7766" s="10"/>
    </row>
    <row r="7767" spans="2:7" ht="11.25" outlineLevel="4" x14ac:dyDescent="0.2">
      <c r="B7767" s="14" t="s">
        <v>14644</v>
      </c>
      <c r="C7767" s="14" t="s">
        <v>14645</v>
      </c>
      <c r="D7767" s="14">
        <v>1</v>
      </c>
      <c r="E7767" s="15">
        <v>7.44</v>
      </c>
      <c r="F7767" s="16" t="s">
        <v>4214</v>
      </c>
      <c r="G7767" s="38" t="str">
        <f>HYPERLINK("http://enext.ua/cab0210001")</f>
        <v>http://enext.ua/cab0210001</v>
      </c>
    </row>
    <row r="7768" spans="2:7" ht="11.25" outlineLevel="4" x14ac:dyDescent="0.2">
      <c r="B7768" s="14" t="s">
        <v>14646</v>
      </c>
      <c r="C7768" s="14" t="s">
        <v>14647</v>
      </c>
      <c r="D7768" s="14">
        <v>1</v>
      </c>
      <c r="E7768" s="15">
        <v>12.75</v>
      </c>
      <c r="F7768" s="16" t="s">
        <v>4214</v>
      </c>
      <c r="G7768" s="38" t="str">
        <f>HYPERLINK("http://enext.ua/cab0210002")</f>
        <v>http://enext.ua/cab0210002</v>
      </c>
    </row>
    <row r="7769" spans="2:7" ht="11.25" outlineLevel="4" x14ac:dyDescent="0.2">
      <c r="B7769" s="14" t="s">
        <v>14648</v>
      </c>
      <c r="C7769" s="14" t="s">
        <v>14649</v>
      </c>
      <c r="D7769" s="14">
        <v>1</v>
      </c>
      <c r="E7769" s="15">
        <v>16.39</v>
      </c>
      <c r="F7769" s="16" t="s">
        <v>4214</v>
      </c>
      <c r="G7769" s="38" t="str">
        <f>HYPERLINK("http://enext.ua/cab0210003")</f>
        <v>http://enext.ua/cab0210003</v>
      </c>
    </row>
    <row r="7770" spans="2:7" ht="11.25" outlineLevel="4" x14ac:dyDescent="0.2">
      <c r="B7770" s="14" t="s">
        <v>14650</v>
      </c>
      <c r="C7770" s="14" t="s">
        <v>14651</v>
      </c>
      <c r="D7770" s="14">
        <v>1</v>
      </c>
      <c r="E7770" s="15">
        <v>22.12</v>
      </c>
      <c r="F7770" s="16" t="s">
        <v>4214</v>
      </c>
      <c r="G7770" s="38" t="str">
        <f>HYPERLINK("http://enext.ua/cab0210004")</f>
        <v>http://enext.ua/cab0210004</v>
      </c>
    </row>
    <row r="7771" spans="2:7" ht="11.25" outlineLevel="4" x14ac:dyDescent="0.2">
      <c r="B7771" s="14" t="s">
        <v>14652</v>
      </c>
      <c r="C7771" s="14" t="s">
        <v>14653</v>
      </c>
      <c r="D7771" s="14">
        <v>1</v>
      </c>
      <c r="E7771" s="15">
        <v>37.5</v>
      </c>
      <c r="F7771" s="16" t="s">
        <v>4214</v>
      </c>
      <c r="G7771" s="38" t="str">
        <f>HYPERLINK("http://enext.ua/cab0210005")</f>
        <v>http://enext.ua/cab0210005</v>
      </c>
    </row>
    <row r="7772" spans="2:7" ht="12" outlineLevel="3" x14ac:dyDescent="0.2">
      <c r="B7772" s="10"/>
      <c r="C7772" s="36" t="s">
        <v>14654</v>
      </c>
      <c r="D7772" s="10"/>
      <c r="E7772" s="11"/>
      <c r="F7772" s="11"/>
      <c r="G7772" s="10"/>
    </row>
    <row r="7773" spans="2:7" ht="11.25" outlineLevel="4" x14ac:dyDescent="0.2">
      <c r="B7773" s="14" t="s">
        <v>14655</v>
      </c>
      <c r="C7773" s="14" t="s">
        <v>14656</v>
      </c>
      <c r="D7773" s="14">
        <v>1</v>
      </c>
      <c r="E7773" s="15">
        <v>41.04</v>
      </c>
      <c r="F7773" s="16" t="s">
        <v>4214</v>
      </c>
      <c r="G7773" s="14"/>
    </row>
    <row r="7774" spans="2:7" ht="11.25" outlineLevel="4" x14ac:dyDescent="0.2">
      <c r="B7774" s="14" t="s">
        <v>14657</v>
      </c>
      <c r="C7774" s="14" t="s">
        <v>14658</v>
      </c>
      <c r="D7774" s="14">
        <v>1</v>
      </c>
      <c r="E7774" s="15">
        <v>52.47</v>
      </c>
      <c r="F7774" s="16" t="s">
        <v>4214</v>
      </c>
      <c r="G7774" s="38" t="str">
        <f>HYPERLINK("http://enext.ua/cab0220001")</f>
        <v>http://enext.ua/cab0220001</v>
      </c>
    </row>
    <row r="7775" spans="2:7" ht="11.25" outlineLevel="4" x14ac:dyDescent="0.2">
      <c r="B7775" s="14" t="s">
        <v>14659</v>
      </c>
      <c r="C7775" s="14" t="s">
        <v>14660</v>
      </c>
      <c r="D7775" s="14">
        <v>1</v>
      </c>
      <c r="E7775" s="15">
        <v>60.13</v>
      </c>
      <c r="F7775" s="16" t="s">
        <v>4214</v>
      </c>
      <c r="G7775" s="38" t="str">
        <f>HYPERLINK("http://enext.ua/cab0220002")</f>
        <v>http://enext.ua/cab0220002</v>
      </c>
    </row>
    <row r="7776" spans="2:7" ht="11.25" outlineLevel="4" x14ac:dyDescent="0.2">
      <c r="B7776" s="14" t="s">
        <v>14661</v>
      </c>
      <c r="C7776" s="14" t="s">
        <v>14662</v>
      </c>
      <c r="D7776" s="14">
        <v>1</v>
      </c>
      <c r="E7776" s="15">
        <v>88.36</v>
      </c>
      <c r="F7776" s="16" t="s">
        <v>4214</v>
      </c>
      <c r="G7776" s="38" t="str">
        <f>HYPERLINK("http://enext.ua/cab0220003")</f>
        <v>http://enext.ua/cab0220003</v>
      </c>
    </row>
    <row r="7777" spans="2:7" ht="11.25" outlineLevel="4" x14ac:dyDescent="0.2">
      <c r="B7777" s="14" t="s">
        <v>14663</v>
      </c>
      <c r="C7777" s="14" t="s">
        <v>14664</v>
      </c>
      <c r="D7777" s="14">
        <v>1</v>
      </c>
      <c r="E7777" s="15">
        <v>131.16</v>
      </c>
      <c r="F7777" s="16" t="s">
        <v>4214</v>
      </c>
      <c r="G7777" s="38" t="str">
        <f>HYPERLINK("http://enext.ua/cab0220004")</f>
        <v>http://enext.ua/cab0220004</v>
      </c>
    </row>
    <row r="7778" spans="2:7" ht="11.25" outlineLevel="4" x14ac:dyDescent="0.2">
      <c r="B7778" s="14" t="s">
        <v>14665</v>
      </c>
      <c r="C7778" s="14" t="s">
        <v>14666</v>
      </c>
      <c r="D7778" s="14">
        <v>1</v>
      </c>
      <c r="E7778" s="15">
        <v>63.62</v>
      </c>
      <c r="F7778" s="16" t="s">
        <v>4214</v>
      </c>
      <c r="G7778" s="38" t="str">
        <f>HYPERLINK("http://enext.ua/cab0220005")</f>
        <v>http://enext.ua/cab0220005</v>
      </c>
    </row>
    <row r="7779" spans="2:7" ht="11.25" outlineLevel="4" x14ac:dyDescent="0.2">
      <c r="B7779" s="14" t="s">
        <v>14667</v>
      </c>
      <c r="C7779" s="14" t="s">
        <v>14668</v>
      </c>
      <c r="D7779" s="14">
        <v>1</v>
      </c>
      <c r="E7779" s="15">
        <v>74.73</v>
      </c>
      <c r="F7779" s="16" t="s">
        <v>4214</v>
      </c>
      <c r="G7779" s="38" t="str">
        <f>HYPERLINK("http://enext.ua/cab0220006")</f>
        <v>http://enext.ua/cab0220006</v>
      </c>
    </row>
    <row r="7780" spans="2:7" ht="11.25" outlineLevel="4" x14ac:dyDescent="0.2">
      <c r="B7780" s="14" t="s">
        <v>14669</v>
      </c>
      <c r="C7780" s="14" t="s">
        <v>14670</v>
      </c>
      <c r="D7780" s="14">
        <v>1</v>
      </c>
      <c r="E7780" s="15">
        <v>109.44</v>
      </c>
      <c r="F7780" s="16" t="s">
        <v>4214</v>
      </c>
      <c r="G7780" s="38" t="str">
        <f>HYPERLINK("http://enext.ua/cab0220007")</f>
        <v>http://enext.ua/cab0220007</v>
      </c>
    </row>
    <row r="7781" spans="2:7" ht="11.25" outlineLevel="4" x14ac:dyDescent="0.2">
      <c r="B7781" s="14" t="s">
        <v>14671</v>
      </c>
      <c r="C7781" s="14" t="s">
        <v>14672</v>
      </c>
      <c r="D7781" s="14">
        <v>1</v>
      </c>
      <c r="E7781" s="15">
        <v>163.44999999999999</v>
      </c>
      <c r="F7781" s="16" t="s">
        <v>4214</v>
      </c>
      <c r="G7781" s="38" t="str">
        <f>HYPERLINK("http://enext.ua/cab0220008")</f>
        <v>http://enext.ua/cab0220008</v>
      </c>
    </row>
    <row r="7782" spans="2:7" ht="11.25" outlineLevel="4" x14ac:dyDescent="0.2">
      <c r="B7782" s="14" t="s">
        <v>14673</v>
      </c>
      <c r="C7782" s="14" t="s">
        <v>14674</v>
      </c>
      <c r="D7782" s="14">
        <v>1</v>
      </c>
      <c r="E7782" s="15">
        <v>224.89</v>
      </c>
      <c r="F7782" s="16" t="s">
        <v>4214</v>
      </c>
      <c r="G7782" s="38" t="str">
        <f>HYPERLINK("http://enext.ua/cab0220009")</f>
        <v>http://enext.ua/cab0220009</v>
      </c>
    </row>
    <row r="7783" spans="2:7" ht="11.25" outlineLevel="4" x14ac:dyDescent="0.2">
      <c r="B7783" s="14" t="s">
        <v>14675</v>
      </c>
      <c r="C7783" s="14" t="s">
        <v>14676</v>
      </c>
      <c r="D7783" s="14">
        <v>1</v>
      </c>
      <c r="E7783" s="15">
        <v>83.91</v>
      </c>
      <c r="F7783" s="16" t="s">
        <v>4214</v>
      </c>
      <c r="G7783" s="38" t="str">
        <f>HYPERLINK("http://enext.ua/cab0240001")</f>
        <v>http://enext.ua/cab0240001</v>
      </c>
    </row>
    <row r="7784" spans="2:7" ht="11.25" outlineLevel="4" x14ac:dyDescent="0.2">
      <c r="B7784" s="14" t="s">
        <v>14677</v>
      </c>
      <c r="C7784" s="14" t="s">
        <v>14678</v>
      </c>
      <c r="D7784" s="14">
        <v>1</v>
      </c>
      <c r="E7784" s="15">
        <v>95.55</v>
      </c>
      <c r="F7784" s="16" t="s">
        <v>4214</v>
      </c>
      <c r="G7784" s="38" t="str">
        <f>HYPERLINK("http://enext.ua/cab0240002")</f>
        <v>http://enext.ua/cab0240002</v>
      </c>
    </row>
    <row r="7785" spans="2:7" ht="11.25" outlineLevel="4" x14ac:dyDescent="0.2">
      <c r="B7785" s="14" t="s">
        <v>14679</v>
      </c>
      <c r="C7785" s="14" t="s">
        <v>14680</v>
      </c>
      <c r="D7785" s="14">
        <v>1</v>
      </c>
      <c r="E7785" s="15">
        <v>147.19999999999999</v>
      </c>
      <c r="F7785" s="16" t="s">
        <v>4214</v>
      </c>
      <c r="G7785" s="38" t="str">
        <f>HYPERLINK("http://enext.ua/cab0240003")</f>
        <v>http://enext.ua/cab0240003</v>
      </c>
    </row>
    <row r="7786" spans="2:7" ht="11.25" outlineLevel="4" x14ac:dyDescent="0.2">
      <c r="B7786" s="14" t="s">
        <v>14681</v>
      </c>
      <c r="C7786" s="14" t="s">
        <v>14682</v>
      </c>
      <c r="D7786" s="14">
        <v>1</v>
      </c>
      <c r="E7786" s="15">
        <v>101.07</v>
      </c>
      <c r="F7786" s="16" t="s">
        <v>4214</v>
      </c>
      <c r="G7786" s="38" t="str">
        <f>HYPERLINK("http://enext.ua/cab0240004")</f>
        <v>http://enext.ua/cab0240004</v>
      </c>
    </row>
    <row r="7787" spans="2:7" ht="11.25" outlineLevel="4" x14ac:dyDescent="0.2">
      <c r="B7787" s="14" t="s">
        <v>14683</v>
      </c>
      <c r="C7787" s="14" t="s">
        <v>14684</v>
      </c>
      <c r="D7787" s="14">
        <v>1</v>
      </c>
      <c r="E7787" s="15">
        <v>120.02</v>
      </c>
      <c r="F7787" s="16" t="s">
        <v>4214</v>
      </c>
      <c r="G7787" s="38" t="str">
        <f>HYPERLINK("http://enext.ua/cab0240005")</f>
        <v>http://enext.ua/cab0240005</v>
      </c>
    </row>
    <row r="7788" spans="2:7" ht="11.25" outlineLevel="4" x14ac:dyDescent="0.2">
      <c r="B7788" s="14" t="s">
        <v>14685</v>
      </c>
      <c r="C7788" s="14" t="s">
        <v>14686</v>
      </c>
      <c r="D7788" s="14">
        <v>1</v>
      </c>
      <c r="E7788" s="15">
        <v>178.76</v>
      </c>
      <c r="F7788" s="16" t="s">
        <v>4214</v>
      </c>
      <c r="G7788" s="38" t="str">
        <f>HYPERLINK("http://enext.ua/cab0240006")</f>
        <v>http://enext.ua/cab0240006</v>
      </c>
    </row>
    <row r="7789" spans="2:7" ht="12" outlineLevel="2" x14ac:dyDescent="0.2">
      <c r="B7789" s="8"/>
      <c r="C7789" s="35" t="s">
        <v>14687</v>
      </c>
      <c r="D7789" s="8"/>
      <c r="E7789" s="9"/>
      <c r="F7789" s="9"/>
      <c r="G7789" s="8"/>
    </row>
    <row r="7790" spans="2:7" ht="11.25" outlineLevel="3" x14ac:dyDescent="0.2">
      <c r="B7790" s="14" t="s">
        <v>14688</v>
      </c>
      <c r="C7790" s="14" t="s">
        <v>14689</v>
      </c>
      <c r="D7790" s="14">
        <v>1</v>
      </c>
      <c r="E7790" s="15">
        <v>12.58</v>
      </c>
      <c r="F7790" s="16" t="s">
        <v>4214</v>
      </c>
      <c r="G7790" s="38" t="str">
        <f>HYPERLINK("http://enext.ua/cab0070026")</f>
        <v>http://enext.ua/cab0070026</v>
      </c>
    </row>
    <row r="7791" spans="2:7" ht="11.25" outlineLevel="3" x14ac:dyDescent="0.2">
      <c r="B7791" s="14" t="s">
        <v>14690</v>
      </c>
      <c r="C7791" s="14" t="s">
        <v>14691</v>
      </c>
      <c r="D7791" s="14">
        <v>1</v>
      </c>
      <c r="E7791" s="15">
        <v>24.71</v>
      </c>
      <c r="F7791" s="16" t="s">
        <v>4214</v>
      </c>
      <c r="G7791" s="38" t="str">
        <f>HYPERLINK("http://enext.ua/cab0070025")</f>
        <v>http://enext.ua/cab0070025</v>
      </c>
    </row>
    <row r="7792" spans="2:7" ht="11.25" outlineLevel="3" x14ac:dyDescent="0.2">
      <c r="B7792" s="14" t="s">
        <v>14692</v>
      </c>
      <c r="C7792" s="14" t="s">
        <v>14693</v>
      </c>
      <c r="D7792" s="14">
        <v>1</v>
      </c>
      <c r="E7792" s="15">
        <v>29.76</v>
      </c>
      <c r="F7792" s="16" t="s">
        <v>4214</v>
      </c>
      <c r="G7792" s="38" t="str">
        <f>HYPERLINK("http://enext.ua/cab0070017")</f>
        <v>http://enext.ua/cab0070017</v>
      </c>
    </row>
    <row r="7793" spans="2:7" ht="12" outlineLevel="2" x14ac:dyDescent="0.2">
      <c r="B7793" s="8"/>
      <c r="C7793" s="35" t="s">
        <v>14694</v>
      </c>
      <c r="D7793" s="8"/>
      <c r="E7793" s="9"/>
      <c r="F7793" s="9"/>
      <c r="G7793" s="8"/>
    </row>
    <row r="7794" spans="2:7" ht="12" outlineLevel="3" x14ac:dyDescent="0.2">
      <c r="B7794" s="10"/>
      <c r="C7794" s="36" t="s">
        <v>14695</v>
      </c>
      <c r="D7794" s="10"/>
      <c r="E7794" s="11"/>
      <c r="F7794" s="11"/>
      <c r="G7794" s="10"/>
    </row>
    <row r="7795" spans="2:7" ht="11.25" outlineLevel="4" x14ac:dyDescent="0.2">
      <c r="B7795" s="14" t="s">
        <v>14696</v>
      </c>
      <c r="C7795" s="14" t="s">
        <v>14697</v>
      </c>
      <c r="D7795" s="14">
        <v>1</v>
      </c>
      <c r="E7795" s="15">
        <v>1.61</v>
      </c>
      <c r="F7795" s="16" t="s">
        <v>4214</v>
      </c>
      <c r="G7795" s="38" t="str">
        <f>HYPERLINK("http://enext.ua/cab0150001")</f>
        <v>http://enext.ua/cab0150001</v>
      </c>
    </row>
    <row r="7796" spans="2:7" ht="12" outlineLevel="3" x14ac:dyDescent="0.2">
      <c r="B7796" s="10"/>
      <c r="C7796" s="36" t="s">
        <v>14698</v>
      </c>
      <c r="D7796" s="10"/>
      <c r="E7796" s="11"/>
      <c r="F7796" s="11"/>
      <c r="G7796" s="10"/>
    </row>
    <row r="7797" spans="2:7" ht="11.25" outlineLevel="4" x14ac:dyDescent="0.2">
      <c r="B7797" s="14" t="s">
        <v>14699</v>
      </c>
      <c r="C7797" s="14" t="s">
        <v>14700</v>
      </c>
      <c r="D7797" s="14">
        <v>1</v>
      </c>
      <c r="E7797" s="15">
        <v>8.31</v>
      </c>
      <c r="F7797" s="16" t="s">
        <v>4214</v>
      </c>
      <c r="G7797" s="38" t="str">
        <f>HYPERLINK("http://enext.ua/cab0010056")</f>
        <v>http://enext.ua/cab0010056</v>
      </c>
    </row>
    <row r="7798" spans="2:7" ht="11.25" outlineLevel="4" x14ac:dyDescent="0.2">
      <c r="B7798" s="14" t="s">
        <v>14701</v>
      </c>
      <c r="C7798" s="14" t="s">
        <v>14702</v>
      </c>
      <c r="D7798" s="14">
        <v>1</v>
      </c>
      <c r="E7798" s="15">
        <v>15.84</v>
      </c>
      <c r="F7798" s="16" t="s">
        <v>4214</v>
      </c>
      <c r="G7798" s="38" t="str">
        <f>HYPERLINK("http://enext.ua/cab0010057")</f>
        <v>http://enext.ua/cab0010057</v>
      </c>
    </row>
    <row r="7799" spans="2:7" ht="11.25" outlineLevel="4" x14ac:dyDescent="0.2">
      <c r="B7799" s="14" t="s">
        <v>14703</v>
      </c>
      <c r="C7799" s="14" t="s">
        <v>14704</v>
      </c>
      <c r="D7799" s="14">
        <v>1</v>
      </c>
      <c r="E7799" s="15">
        <v>14.68</v>
      </c>
      <c r="F7799" s="16" t="s">
        <v>4214</v>
      </c>
      <c r="G7799" s="38" t="str">
        <f>HYPERLINK("http://enext.ua/cab0010058")</f>
        <v>http://enext.ua/cab0010058</v>
      </c>
    </row>
    <row r="7800" spans="2:7" ht="11.25" outlineLevel="4" x14ac:dyDescent="0.2">
      <c r="B7800" s="14" t="s">
        <v>14705</v>
      </c>
      <c r="C7800" s="14" t="s">
        <v>14706</v>
      </c>
      <c r="D7800" s="14">
        <v>1</v>
      </c>
      <c r="E7800" s="15">
        <v>23.07</v>
      </c>
      <c r="F7800" s="16" t="s">
        <v>4214</v>
      </c>
      <c r="G7800" s="38" t="str">
        <f>HYPERLINK("http://enext.ua/cab0010059")</f>
        <v>http://enext.ua/cab0010059</v>
      </c>
    </row>
    <row r="7801" spans="2:7" ht="12" outlineLevel="3" x14ac:dyDescent="0.2">
      <c r="B7801" s="10"/>
      <c r="C7801" s="36" t="s">
        <v>14707</v>
      </c>
      <c r="D7801" s="10"/>
      <c r="E7801" s="11"/>
      <c r="F7801" s="11"/>
      <c r="G7801" s="10"/>
    </row>
    <row r="7802" spans="2:7" ht="11.25" outlineLevel="4" x14ac:dyDescent="0.2">
      <c r="B7802" s="14" t="s">
        <v>14708</v>
      </c>
      <c r="C7802" s="14" t="s">
        <v>14709</v>
      </c>
      <c r="D7802" s="14">
        <v>1</v>
      </c>
      <c r="E7802" s="15">
        <v>3.53</v>
      </c>
      <c r="F7802" s="16" t="s">
        <v>4214</v>
      </c>
      <c r="G7802" s="38" t="str">
        <f>HYPERLINK("http://enext.ua/cab0010063")</f>
        <v>http://enext.ua/cab0010063</v>
      </c>
    </row>
    <row r="7803" spans="2:7" ht="11.25" outlineLevel="4" x14ac:dyDescent="0.2">
      <c r="B7803" s="14" t="s">
        <v>14710</v>
      </c>
      <c r="C7803" s="14" t="s">
        <v>14711</v>
      </c>
      <c r="D7803" s="14">
        <v>1</v>
      </c>
      <c r="E7803" s="15">
        <v>6.95</v>
      </c>
      <c r="F7803" s="16" t="s">
        <v>4214</v>
      </c>
      <c r="G7803" s="38" t="str">
        <f>HYPERLINK("http://enext.ua/cab0010038")</f>
        <v>http://enext.ua/cab0010038</v>
      </c>
    </row>
    <row r="7804" spans="2:7" ht="11.25" outlineLevel="4" x14ac:dyDescent="0.2">
      <c r="B7804" s="14" t="s">
        <v>14712</v>
      </c>
      <c r="C7804" s="14" t="s">
        <v>14713</v>
      </c>
      <c r="D7804" s="14">
        <v>1</v>
      </c>
      <c r="E7804" s="15">
        <v>13.71</v>
      </c>
      <c r="F7804" s="16" t="s">
        <v>4214</v>
      </c>
      <c r="G7804" s="38" t="str">
        <f>HYPERLINK("http://enext.ua/cab0019010")</f>
        <v>http://enext.ua/cab0019010</v>
      </c>
    </row>
    <row r="7805" spans="2:7" ht="12" outlineLevel="3" x14ac:dyDescent="0.2">
      <c r="B7805" s="10"/>
      <c r="C7805" s="36" t="s">
        <v>14714</v>
      </c>
      <c r="D7805" s="10"/>
      <c r="E7805" s="11"/>
      <c r="F7805" s="11"/>
      <c r="G7805" s="10"/>
    </row>
    <row r="7806" spans="2:7" ht="11.25" outlineLevel="4" x14ac:dyDescent="0.2">
      <c r="B7806" s="14" t="s">
        <v>14715</v>
      </c>
      <c r="C7806" s="14" t="s">
        <v>14716</v>
      </c>
      <c r="D7806" s="14">
        <v>1</v>
      </c>
      <c r="E7806" s="15">
        <v>3.67</v>
      </c>
      <c r="F7806" s="16" t="s">
        <v>4214</v>
      </c>
      <c r="G7806" s="38" t="str">
        <f>HYPERLINK("http://enext.ua/cab0010037z")</f>
        <v>http://enext.ua/cab0010037z</v>
      </c>
    </row>
    <row r="7807" spans="2:7" ht="12" outlineLevel="3" x14ac:dyDescent="0.2">
      <c r="B7807" s="10"/>
      <c r="C7807" s="36" t="s">
        <v>14717</v>
      </c>
      <c r="D7807" s="10"/>
      <c r="E7807" s="11"/>
      <c r="F7807" s="11"/>
      <c r="G7807" s="10"/>
    </row>
    <row r="7808" spans="2:7" ht="11.25" outlineLevel="4" x14ac:dyDescent="0.2">
      <c r="B7808" s="14" t="s">
        <v>14718</v>
      </c>
      <c r="C7808" s="14" t="s">
        <v>14719</v>
      </c>
      <c r="D7808" s="14">
        <v>1</v>
      </c>
      <c r="E7808" s="15">
        <v>1.84</v>
      </c>
      <c r="F7808" s="16" t="s">
        <v>4214</v>
      </c>
      <c r="G7808" s="38" t="str">
        <f>HYPERLINK("http://enext.ua/cab02200071")</f>
        <v>http://enext.ua/cab02200071</v>
      </c>
    </row>
    <row r="7809" spans="2:7" ht="11.25" outlineLevel="4" x14ac:dyDescent="0.2">
      <c r="B7809" s="14" t="s">
        <v>14720</v>
      </c>
      <c r="C7809" s="14" t="s">
        <v>14721</v>
      </c>
      <c r="D7809" s="14">
        <v>1</v>
      </c>
      <c r="E7809" s="15">
        <v>2.2400000000000002</v>
      </c>
      <c r="F7809" s="16" t="s">
        <v>4214</v>
      </c>
      <c r="G7809" s="38" t="str">
        <f>HYPERLINK("http://enext.ua/cab0220036")</f>
        <v>http://enext.ua/cab0220036</v>
      </c>
    </row>
    <row r="7810" spans="2:7" ht="11.25" outlineLevel="4" x14ac:dyDescent="0.2">
      <c r="B7810" s="14" t="s">
        <v>14722</v>
      </c>
      <c r="C7810" s="14" t="s">
        <v>14723</v>
      </c>
      <c r="D7810" s="14">
        <v>1</v>
      </c>
      <c r="E7810" s="15">
        <v>2.1800000000000002</v>
      </c>
      <c r="F7810" s="16" t="s">
        <v>4214</v>
      </c>
      <c r="G7810" s="38" t="str">
        <f>HYPERLINK("http://enext.ua/cab0010024")</f>
        <v>http://enext.ua/cab0010024</v>
      </c>
    </row>
    <row r="7811" spans="2:7" ht="11.25" outlineLevel="4" x14ac:dyDescent="0.2">
      <c r="B7811" s="14" t="s">
        <v>14724</v>
      </c>
      <c r="C7811" s="14" t="s">
        <v>14725</v>
      </c>
      <c r="D7811" s="14">
        <v>1</v>
      </c>
      <c r="E7811" s="15">
        <v>2.1800000000000002</v>
      </c>
      <c r="F7811" s="16" t="s">
        <v>4214</v>
      </c>
      <c r="G7811" s="38" t="str">
        <f>HYPERLINK("http://enext.ua/cab0010025")</f>
        <v>http://enext.ua/cab0010025</v>
      </c>
    </row>
    <row r="7812" spans="2:7" ht="11.25" outlineLevel="4" x14ac:dyDescent="0.2">
      <c r="B7812" s="14" t="s">
        <v>14726</v>
      </c>
      <c r="C7812" s="14" t="s">
        <v>14727</v>
      </c>
      <c r="D7812" s="14">
        <v>1</v>
      </c>
      <c r="E7812" s="15">
        <v>2.1800000000000002</v>
      </c>
      <c r="F7812" s="16" t="s">
        <v>4214</v>
      </c>
      <c r="G7812" s="38" t="str">
        <f>HYPERLINK("http://enext.ua/cab0220021")</f>
        <v>http://enext.ua/cab0220021</v>
      </c>
    </row>
    <row r="7813" spans="2:7" ht="11.25" outlineLevel="4" x14ac:dyDescent="0.2">
      <c r="B7813" s="14" t="s">
        <v>14728</v>
      </c>
      <c r="C7813" s="14" t="s">
        <v>14729</v>
      </c>
      <c r="D7813" s="14">
        <v>1</v>
      </c>
      <c r="E7813" s="15">
        <v>4.4800000000000004</v>
      </c>
      <c r="F7813" s="16" t="s">
        <v>4214</v>
      </c>
      <c r="G7813" s="38" t="str">
        <f>HYPERLINK("http://enext.ua/cab0010107")</f>
        <v>http://enext.ua/cab0010107</v>
      </c>
    </row>
    <row r="7814" spans="2:7" ht="11.25" outlineLevel="4" x14ac:dyDescent="0.2">
      <c r="B7814" s="14" t="s">
        <v>14730</v>
      </c>
      <c r="C7814" s="14" t="s">
        <v>14731</v>
      </c>
      <c r="D7814" s="14">
        <v>1</v>
      </c>
      <c r="E7814" s="15">
        <v>3.1</v>
      </c>
      <c r="F7814" s="16" t="s">
        <v>4214</v>
      </c>
      <c r="G7814" s="38" t="str">
        <f>HYPERLINK("http://enext.ua/cab0220030")</f>
        <v>http://enext.ua/cab0220030</v>
      </c>
    </row>
    <row r="7815" spans="2:7" ht="11.25" outlineLevel="4" x14ac:dyDescent="0.2">
      <c r="B7815" s="14" t="s">
        <v>14732</v>
      </c>
      <c r="C7815" s="14" t="s">
        <v>14733</v>
      </c>
      <c r="D7815" s="14">
        <v>1</v>
      </c>
      <c r="E7815" s="15">
        <v>7.47</v>
      </c>
      <c r="F7815" s="16" t="s">
        <v>4214</v>
      </c>
      <c r="G7815" s="38" t="str">
        <f>HYPERLINK("http://enext.ua/cab0010089")</f>
        <v>http://enext.ua/cab0010089</v>
      </c>
    </row>
    <row r="7816" spans="2:7" ht="11.25" outlineLevel="4" x14ac:dyDescent="0.2">
      <c r="B7816" s="14" t="s">
        <v>14734</v>
      </c>
      <c r="C7816" s="14" t="s">
        <v>14735</v>
      </c>
      <c r="D7816" s="14">
        <v>1</v>
      </c>
      <c r="E7816" s="15">
        <v>5.0599999999999996</v>
      </c>
      <c r="F7816" s="16" t="s">
        <v>4214</v>
      </c>
      <c r="G7816" s="38" t="str">
        <f>HYPERLINK("http://enext.ua/cab0220020")</f>
        <v>http://enext.ua/cab0220020</v>
      </c>
    </row>
    <row r="7817" spans="2:7" ht="11.25" outlineLevel="4" x14ac:dyDescent="0.2">
      <c r="B7817" s="14" t="s">
        <v>14736</v>
      </c>
      <c r="C7817" s="14" t="s">
        <v>14737</v>
      </c>
      <c r="D7817" s="14">
        <v>1</v>
      </c>
      <c r="E7817" s="15">
        <v>8.5500000000000007</v>
      </c>
      <c r="F7817" s="16" t="s">
        <v>4214</v>
      </c>
      <c r="G7817" s="14"/>
    </row>
    <row r="7818" spans="2:7" ht="11.25" outlineLevel="4" x14ac:dyDescent="0.2">
      <c r="B7818" s="14" t="s">
        <v>14738</v>
      </c>
      <c r="C7818" s="14" t="s">
        <v>14739</v>
      </c>
      <c r="D7818" s="14">
        <v>1</v>
      </c>
      <c r="E7818" s="15">
        <v>8.49</v>
      </c>
      <c r="F7818" s="16" t="s">
        <v>4214</v>
      </c>
      <c r="G7818" s="38" t="str">
        <f>HYPERLINK("http://enext.ua/cab0220024")</f>
        <v>http://enext.ua/cab0220024</v>
      </c>
    </row>
    <row r="7819" spans="2:7" ht="11.25" outlineLevel="4" x14ac:dyDescent="0.2">
      <c r="B7819" s="14" t="s">
        <v>14740</v>
      </c>
      <c r="C7819" s="14" t="s">
        <v>14741</v>
      </c>
      <c r="D7819" s="14">
        <v>1</v>
      </c>
      <c r="E7819" s="15">
        <v>11.93</v>
      </c>
      <c r="F7819" s="16" t="s">
        <v>4214</v>
      </c>
      <c r="G7819" s="14"/>
    </row>
    <row r="7820" spans="2:7" ht="11.25" outlineLevel="4" x14ac:dyDescent="0.2">
      <c r="B7820" s="14" t="s">
        <v>14742</v>
      </c>
      <c r="C7820" s="14" t="s">
        <v>14743</v>
      </c>
      <c r="D7820" s="14">
        <v>1</v>
      </c>
      <c r="E7820" s="15">
        <v>11.81</v>
      </c>
      <c r="F7820" s="16" t="s">
        <v>4214</v>
      </c>
      <c r="G7820" s="38" t="str">
        <f>HYPERLINK("http://enext.ua/cab0010005")</f>
        <v>http://enext.ua/cab0010005</v>
      </c>
    </row>
    <row r="7821" spans="2:7" ht="11.25" outlineLevel="4" x14ac:dyDescent="0.2">
      <c r="B7821" s="14" t="s">
        <v>14744</v>
      </c>
      <c r="C7821" s="14" t="s">
        <v>14745</v>
      </c>
      <c r="D7821" s="14">
        <v>1</v>
      </c>
      <c r="E7821" s="15">
        <v>11.81</v>
      </c>
      <c r="F7821" s="16" t="s">
        <v>4214</v>
      </c>
      <c r="G7821" s="14"/>
    </row>
    <row r="7822" spans="2:7" ht="11.25" outlineLevel="4" x14ac:dyDescent="0.2">
      <c r="B7822" s="14" t="s">
        <v>14746</v>
      </c>
      <c r="C7822" s="14" t="s">
        <v>14747</v>
      </c>
      <c r="D7822" s="14">
        <v>1</v>
      </c>
      <c r="E7822" s="15">
        <v>19.440000000000001</v>
      </c>
      <c r="F7822" s="16" t="s">
        <v>4214</v>
      </c>
      <c r="G7822" s="38" t="str">
        <f>HYPERLINK("http://enext.ua/cab0010006")</f>
        <v>http://enext.ua/cab0010006</v>
      </c>
    </row>
    <row r="7823" spans="2:7" ht="11.25" outlineLevel="4" x14ac:dyDescent="0.2">
      <c r="B7823" s="14" t="s">
        <v>14748</v>
      </c>
      <c r="C7823" s="14" t="s">
        <v>14749</v>
      </c>
      <c r="D7823" s="14">
        <v>1</v>
      </c>
      <c r="E7823" s="15">
        <v>19.440000000000001</v>
      </c>
      <c r="F7823" s="16" t="s">
        <v>4214</v>
      </c>
      <c r="G7823" s="38" t="str">
        <f>HYPERLINK("http://enext.ua/cab0220027")</f>
        <v>http://enext.ua/cab0220027</v>
      </c>
    </row>
    <row r="7824" spans="2:7" ht="11.25" outlineLevel="4" x14ac:dyDescent="0.2">
      <c r="B7824" s="14" t="s">
        <v>14750</v>
      </c>
      <c r="C7824" s="14" t="s">
        <v>14751</v>
      </c>
      <c r="D7824" s="14">
        <v>1</v>
      </c>
      <c r="E7824" s="15">
        <v>20.23</v>
      </c>
      <c r="F7824" s="16" t="s">
        <v>4214</v>
      </c>
      <c r="G7824" s="14"/>
    </row>
    <row r="7825" spans="2:7" ht="11.25" outlineLevel="4" x14ac:dyDescent="0.2">
      <c r="B7825" s="14" t="s">
        <v>14752</v>
      </c>
      <c r="C7825" s="14" t="s">
        <v>14753</v>
      </c>
      <c r="D7825" s="14">
        <v>1</v>
      </c>
      <c r="E7825" s="15">
        <v>32.119999999999997</v>
      </c>
      <c r="F7825" s="16" t="s">
        <v>4214</v>
      </c>
      <c r="G7825" s="38" t="str">
        <f>HYPERLINK("http://enext.ua/cab0220019")</f>
        <v>http://enext.ua/cab0220019</v>
      </c>
    </row>
    <row r="7826" spans="2:7" ht="11.25" outlineLevel="4" x14ac:dyDescent="0.2">
      <c r="B7826" s="14" t="s">
        <v>14754</v>
      </c>
      <c r="C7826" s="14" t="s">
        <v>14755</v>
      </c>
      <c r="D7826" s="14">
        <v>1</v>
      </c>
      <c r="E7826" s="15">
        <v>52.56</v>
      </c>
      <c r="F7826" s="16" t="s">
        <v>4214</v>
      </c>
      <c r="G7826" s="38" t="str">
        <f>HYPERLINK("http://enext.ua/cab0010049")</f>
        <v>http://enext.ua/cab0010049</v>
      </c>
    </row>
    <row r="7827" spans="2:7" ht="11.25" outlineLevel="4" x14ac:dyDescent="0.2">
      <c r="B7827" s="14" t="s">
        <v>14756</v>
      </c>
      <c r="C7827" s="14" t="s">
        <v>14757</v>
      </c>
      <c r="D7827" s="14">
        <v>1</v>
      </c>
      <c r="E7827" s="15">
        <v>20.23</v>
      </c>
      <c r="F7827" s="16" t="s">
        <v>4214</v>
      </c>
      <c r="G7827" s="14"/>
    </row>
    <row r="7828" spans="2:7" ht="12" outlineLevel="3" x14ac:dyDescent="0.2">
      <c r="B7828" s="10"/>
      <c r="C7828" s="36" t="s">
        <v>14758</v>
      </c>
      <c r="D7828" s="10"/>
      <c r="E7828" s="11"/>
      <c r="F7828" s="11"/>
      <c r="G7828" s="10"/>
    </row>
    <row r="7829" spans="2:7" ht="11.25" outlineLevel="4" x14ac:dyDescent="0.2">
      <c r="B7829" s="14" t="s">
        <v>14759</v>
      </c>
      <c r="C7829" s="14" t="s">
        <v>14760</v>
      </c>
      <c r="D7829" s="14">
        <v>1</v>
      </c>
      <c r="E7829" s="15">
        <v>2.44</v>
      </c>
      <c r="F7829" s="16" t="s">
        <v>4214</v>
      </c>
      <c r="G7829" s="14"/>
    </row>
    <row r="7830" spans="2:7" ht="11.25" outlineLevel="4" x14ac:dyDescent="0.2">
      <c r="B7830" s="14" t="s">
        <v>14761</v>
      </c>
      <c r="C7830" s="14" t="s">
        <v>14747</v>
      </c>
      <c r="D7830" s="14">
        <v>1</v>
      </c>
      <c r="E7830" s="15">
        <v>24.05</v>
      </c>
      <c r="F7830" s="16" t="s">
        <v>4214</v>
      </c>
      <c r="G7830" s="14"/>
    </row>
    <row r="7831" spans="2:7" ht="12" outlineLevel="3" x14ac:dyDescent="0.2">
      <c r="B7831" s="10"/>
      <c r="C7831" s="36" t="s">
        <v>14762</v>
      </c>
      <c r="D7831" s="10"/>
      <c r="E7831" s="11"/>
      <c r="F7831" s="11"/>
      <c r="G7831" s="10"/>
    </row>
    <row r="7832" spans="2:7" ht="11.25" outlineLevel="4" x14ac:dyDescent="0.2">
      <c r="B7832" s="14" t="s">
        <v>14763</v>
      </c>
      <c r="C7832" s="14" t="s">
        <v>14764</v>
      </c>
      <c r="D7832" s="14">
        <v>1</v>
      </c>
      <c r="E7832" s="15">
        <v>22.64</v>
      </c>
      <c r="F7832" s="16" t="s">
        <v>4214</v>
      </c>
      <c r="G7832" s="38" t="str">
        <f>HYPERLINK("http://enext.ua/cab0010020")</f>
        <v>http://enext.ua/cab0010020</v>
      </c>
    </row>
    <row r="7833" spans="2:7" ht="12" outlineLevel="3" x14ac:dyDescent="0.2">
      <c r="B7833" s="10"/>
      <c r="C7833" s="36" t="s">
        <v>14765</v>
      </c>
      <c r="D7833" s="10"/>
      <c r="E7833" s="11"/>
      <c r="F7833" s="11"/>
      <c r="G7833" s="10"/>
    </row>
    <row r="7834" spans="2:7" ht="11.25" outlineLevel="4" x14ac:dyDescent="0.2">
      <c r="B7834" s="14" t="s">
        <v>14766</v>
      </c>
      <c r="C7834" s="14" t="s">
        <v>14767</v>
      </c>
      <c r="D7834" s="14">
        <v>1</v>
      </c>
      <c r="E7834" s="15">
        <v>6.44</v>
      </c>
      <c r="F7834" s="16" t="s">
        <v>4214</v>
      </c>
      <c r="G7834" s="38" t="str">
        <f>HYPERLINK("http://enext.ua/cab0010050z")</f>
        <v>http://enext.ua/cab0010050z</v>
      </c>
    </row>
    <row r="7835" spans="2:7" ht="11.25" outlineLevel="4" x14ac:dyDescent="0.2">
      <c r="B7835" s="14" t="s">
        <v>14768</v>
      </c>
      <c r="C7835" s="14" t="s">
        <v>14769</v>
      </c>
      <c r="D7835" s="14">
        <v>1</v>
      </c>
      <c r="E7835" s="15">
        <v>13.28</v>
      </c>
      <c r="F7835" s="16" t="s">
        <v>4214</v>
      </c>
      <c r="G7835" s="38" t="str">
        <f>HYPERLINK("http://enext.ua/cab0010011z")</f>
        <v>http://enext.ua/cab0010011z</v>
      </c>
    </row>
    <row r="7836" spans="2:7" ht="12" outlineLevel="3" x14ac:dyDescent="0.2">
      <c r="B7836" s="10"/>
      <c r="C7836" s="36" t="s">
        <v>14770</v>
      </c>
      <c r="D7836" s="10"/>
      <c r="E7836" s="11"/>
      <c r="F7836" s="11"/>
      <c r="G7836" s="10"/>
    </row>
    <row r="7837" spans="2:7" ht="11.25" outlineLevel="4" x14ac:dyDescent="0.2">
      <c r="B7837" s="14" t="s">
        <v>14771</v>
      </c>
      <c r="C7837" s="14" t="s">
        <v>14772</v>
      </c>
      <c r="D7837" s="14">
        <v>1</v>
      </c>
      <c r="E7837" s="15">
        <v>6.58</v>
      </c>
      <c r="F7837" s="16" t="s">
        <v>4214</v>
      </c>
      <c r="G7837" s="14"/>
    </row>
    <row r="7838" spans="2:7" ht="11.25" outlineLevel="4" x14ac:dyDescent="0.2">
      <c r="B7838" s="14" t="s">
        <v>14773</v>
      </c>
      <c r="C7838" s="14" t="s">
        <v>14774</v>
      </c>
      <c r="D7838" s="14">
        <v>1</v>
      </c>
      <c r="E7838" s="15">
        <v>7.42</v>
      </c>
      <c r="F7838" s="16" t="s">
        <v>4214</v>
      </c>
      <c r="G7838" s="14"/>
    </row>
    <row r="7839" spans="2:7" ht="11.25" outlineLevel="4" x14ac:dyDescent="0.2">
      <c r="B7839" s="14" t="s">
        <v>14775</v>
      </c>
      <c r="C7839" s="14" t="s">
        <v>14776</v>
      </c>
      <c r="D7839" s="14">
        <v>1</v>
      </c>
      <c r="E7839" s="15">
        <v>12.19</v>
      </c>
      <c r="F7839" s="16" t="s">
        <v>4214</v>
      </c>
      <c r="G7839" s="14"/>
    </row>
    <row r="7840" spans="2:7" ht="11.25" outlineLevel="4" x14ac:dyDescent="0.2">
      <c r="B7840" s="14" t="s">
        <v>14777</v>
      </c>
      <c r="C7840" s="14" t="s">
        <v>14778</v>
      </c>
      <c r="D7840" s="14">
        <v>1</v>
      </c>
      <c r="E7840" s="15">
        <v>18.059999999999999</v>
      </c>
      <c r="F7840" s="16" t="s">
        <v>4214</v>
      </c>
      <c r="G7840" s="14"/>
    </row>
    <row r="7841" spans="2:7" ht="11.25" outlineLevel="4" x14ac:dyDescent="0.2">
      <c r="B7841" s="14" t="s">
        <v>14779</v>
      </c>
      <c r="C7841" s="14" t="s">
        <v>14780</v>
      </c>
      <c r="D7841" s="14">
        <v>1</v>
      </c>
      <c r="E7841" s="15">
        <v>17.53</v>
      </c>
      <c r="F7841" s="16" t="s">
        <v>4214</v>
      </c>
      <c r="G7841" s="14"/>
    </row>
    <row r="7842" spans="2:7" ht="11.25" outlineLevel="4" x14ac:dyDescent="0.2">
      <c r="B7842" s="14" t="s">
        <v>14781</v>
      </c>
      <c r="C7842" s="14" t="s">
        <v>14563</v>
      </c>
      <c r="D7842" s="14">
        <v>1</v>
      </c>
      <c r="E7842" s="15">
        <v>25.61</v>
      </c>
      <c r="F7842" s="16" t="s">
        <v>4214</v>
      </c>
      <c r="G7842" s="14"/>
    </row>
    <row r="7843" spans="2:7" ht="12" outlineLevel="3" x14ac:dyDescent="0.2">
      <c r="B7843" s="10"/>
      <c r="C7843" s="36" t="s">
        <v>14782</v>
      </c>
      <c r="D7843" s="10"/>
      <c r="E7843" s="11"/>
      <c r="F7843" s="11"/>
      <c r="G7843" s="10"/>
    </row>
    <row r="7844" spans="2:7" ht="11.25" outlineLevel="4" x14ac:dyDescent="0.2">
      <c r="B7844" s="14" t="s">
        <v>14783</v>
      </c>
      <c r="C7844" s="14" t="s">
        <v>14784</v>
      </c>
      <c r="D7844" s="14">
        <v>1</v>
      </c>
      <c r="E7844" s="15">
        <v>19.45</v>
      </c>
      <c r="F7844" s="16" t="s">
        <v>4214</v>
      </c>
      <c r="G7844" s="38" t="str">
        <f>HYPERLINK("http://enext.ua/cab0130008")</f>
        <v>http://enext.ua/cab0130008</v>
      </c>
    </row>
    <row r="7845" spans="2:7" ht="12" outlineLevel="3" x14ac:dyDescent="0.2">
      <c r="B7845" s="10"/>
      <c r="C7845" s="36" t="s">
        <v>14785</v>
      </c>
      <c r="D7845" s="10"/>
      <c r="E7845" s="11"/>
      <c r="F7845" s="11"/>
      <c r="G7845" s="10"/>
    </row>
    <row r="7846" spans="2:7" ht="11.25" outlineLevel="4" x14ac:dyDescent="0.2">
      <c r="B7846" s="14" t="s">
        <v>14786</v>
      </c>
      <c r="C7846" s="14" t="s">
        <v>14787</v>
      </c>
      <c r="D7846" s="14">
        <v>1</v>
      </c>
      <c r="E7846" s="15">
        <v>4.3099999999999996</v>
      </c>
      <c r="F7846" s="16" t="s">
        <v>4214</v>
      </c>
      <c r="G7846" s="38" t="str">
        <f>HYPERLINK("http://enext.ua/cab0010026z")</f>
        <v>http://enext.ua/cab0010026z</v>
      </c>
    </row>
    <row r="7847" spans="2:7" ht="11.25" outlineLevel="4" x14ac:dyDescent="0.2">
      <c r="B7847" s="14" t="s">
        <v>14788</v>
      </c>
      <c r="C7847" s="14" t="s">
        <v>14789</v>
      </c>
      <c r="D7847" s="14">
        <v>1</v>
      </c>
      <c r="E7847" s="15">
        <v>5.58</v>
      </c>
      <c r="F7847" s="16" t="s">
        <v>4214</v>
      </c>
      <c r="G7847" s="38" t="str">
        <f>HYPERLINK("http://enext.ua/cab0130001z")</f>
        <v>http://enext.ua/cab0130001z</v>
      </c>
    </row>
    <row r="7848" spans="2:7" ht="11.25" outlineLevel="4" x14ac:dyDescent="0.2">
      <c r="B7848" s="14" t="s">
        <v>14790</v>
      </c>
      <c r="C7848" s="14" t="s">
        <v>14791</v>
      </c>
      <c r="D7848" s="14">
        <v>1</v>
      </c>
      <c r="E7848" s="15">
        <v>17.649999999999999</v>
      </c>
      <c r="F7848" s="16" t="s">
        <v>4214</v>
      </c>
      <c r="G7848" s="38" t="str">
        <f>HYPERLINK("http://enext.ua/cab0010060z")</f>
        <v>http://enext.ua/cab0010060z</v>
      </c>
    </row>
    <row r="7849" spans="2:7" ht="12" outlineLevel="3" x14ac:dyDescent="0.2">
      <c r="B7849" s="10"/>
      <c r="C7849" s="36" t="s">
        <v>14792</v>
      </c>
      <c r="D7849" s="10"/>
      <c r="E7849" s="11"/>
      <c r="F7849" s="11"/>
      <c r="G7849" s="10"/>
    </row>
    <row r="7850" spans="2:7" ht="11.25" outlineLevel="4" x14ac:dyDescent="0.2">
      <c r="B7850" s="14" t="s">
        <v>14793</v>
      </c>
      <c r="C7850" s="14" t="s">
        <v>14794</v>
      </c>
      <c r="D7850" s="14">
        <v>1</v>
      </c>
      <c r="E7850" s="15">
        <v>4.59</v>
      </c>
      <c r="F7850" s="16" t="s">
        <v>4214</v>
      </c>
      <c r="G7850" s="14"/>
    </row>
    <row r="7851" spans="2:7" ht="11.25" outlineLevel="4" x14ac:dyDescent="0.2">
      <c r="B7851" s="14" t="s">
        <v>14795</v>
      </c>
      <c r="C7851" s="14" t="s">
        <v>14796</v>
      </c>
      <c r="D7851" s="14">
        <v>1</v>
      </c>
      <c r="E7851" s="15">
        <v>7.24</v>
      </c>
      <c r="F7851" s="16" t="s">
        <v>4214</v>
      </c>
      <c r="G7851" s="14"/>
    </row>
    <row r="7852" spans="2:7" ht="11.25" outlineLevel="4" x14ac:dyDescent="0.2">
      <c r="B7852" s="14" t="s">
        <v>14797</v>
      </c>
      <c r="C7852" s="14" t="s">
        <v>14798</v>
      </c>
      <c r="D7852" s="14">
        <v>1</v>
      </c>
      <c r="E7852" s="15">
        <v>11.38</v>
      </c>
      <c r="F7852" s="16" t="s">
        <v>4214</v>
      </c>
      <c r="G7852" s="14"/>
    </row>
    <row r="7853" spans="2:7" ht="11.25" outlineLevel="4" x14ac:dyDescent="0.2">
      <c r="B7853" s="14" t="s">
        <v>14799</v>
      </c>
      <c r="C7853" s="14" t="s">
        <v>14800</v>
      </c>
      <c r="D7853" s="14">
        <v>1</v>
      </c>
      <c r="E7853" s="15">
        <v>15.35</v>
      </c>
      <c r="F7853" s="16" t="s">
        <v>4214</v>
      </c>
      <c r="G7853" s="14"/>
    </row>
    <row r="7854" spans="2:7" ht="11.25" outlineLevel="4" x14ac:dyDescent="0.2">
      <c r="B7854" s="14" t="s">
        <v>14801</v>
      </c>
      <c r="C7854" s="14" t="s">
        <v>14802</v>
      </c>
      <c r="D7854" s="14">
        <v>1</v>
      </c>
      <c r="E7854" s="15">
        <v>14.6</v>
      </c>
      <c r="F7854" s="16" t="s">
        <v>4214</v>
      </c>
      <c r="G7854" s="14"/>
    </row>
    <row r="7855" spans="2:7" ht="11.25" outlineLevel="4" x14ac:dyDescent="0.2">
      <c r="B7855" s="14" t="s">
        <v>14803</v>
      </c>
      <c r="C7855" s="14" t="s">
        <v>14804</v>
      </c>
      <c r="D7855" s="14">
        <v>1</v>
      </c>
      <c r="E7855" s="15">
        <v>24.94</v>
      </c>
      <c r="F7855" s="16" t="s">
        <v>4214</v>
      </c>
      <c r="G7855" s="14"/>
    </row>
    <row r="7856" spans="2:7" ht="12" outlineLevel="1" x14ac:dyDescent="0.2">
      <c r="B7856" s="6"/>
      <c r="C7856" s="34" t="s">
        <v>14805</v>
      </c>
      <c r="D7856" s="6"/>
      <c r="E7856" s="7"/>
      <c r="F7856" s="7"/>
      <c r="G7856" s="6"/>
    </row>
    <row r="7857" spans="2:7" ht="11.25" outlineLevel="2" x14ac:dyDescent="0.2">
      <c r="B7857" s="14" t="s">
        <v>14806</v>
      </c>
      <c r="C7857" s="14" t="s">
        <v>14807</v>
      </c>
      <c r="D7857" s="14">
        <v>1</v>
      </c>
      <c r="E7857" s="17">
        <v>1183.6400000000001</v>
      </c>
      <c r="F7857" s="16" t="s">
        <v>8</v>
      </c>
      <c r="G7857" s="38" t="str">
        <f>HYPERLINK("http://enext.ua/СНВТ-1500-1")</f>
        <v>http://enext.ua/СНВТ-1500-1</v>
      </c>
    </row>
    <row r="7858" spans="2:7" ht="12" outlineLevel="1" x14ac:dyDescent="0.2">
      <c r="B7858" s="6"/>
      <c r="C7858" s="34" t="s">
        <v>14808</v>
      </c>
      <c r="D7858" s="6"/>
      <c r="E7858" s="7"/>
      <c r="F7858" s="7"/>
      <c r="G7858" s="6"/>
    </row>
    <row r="7859" spans="2:7" ht="12" outlineLevel="2" x14ac:dyDescent="0.2">
      <c r="B7859" s="8"/>
      <c r="C7859" s="35" t="s">
        <v>14809</v>
      </c>
      <c r="D7859" s="8"/>
      <c r="E7859" s="9"/>
      <c r="F7859" s="9"/>
      <c r="G7859" s="8"/>
    </row>
    <row r="7860" spans="2:7" ht="12" outlineLevel="3" x14ac:dyDescent="0.2">
      <c r="B7860" s="10"/>
      <c r="C7860" s="36" t="s">
        <v>14810</v>
      </c>
      <c r="D7860" s="10"/>
      <c r="E7860" s="11"/>
      <c r="F7860" s="11"/>
      <c r="G7860" s="10"/>
    </row>
    <row r="7861" spans="2:7" ht="11.25" outlineLevel="4" x14ac:dyDescent="0.2">
      <c r="B7861" s="14" t="s">
        <v>14811</v>
      </c>
      <c r="C7861" s="14" t="s">
        <v>14812</v>
      </c>
      <c r="D7861" s="14">
        <v>1</v>
      </c>
      <c r="E7861" s="17">
        <v>8609.9</v>
      </c>
      <c r="F7861" s="16" t="s">
        <v>8</v>
      </c>
      <c r="G7861" s="14"/>
    </row>
    <row r="7862" spans="2:7" ht="11.25" outlineLevel="4" x14ac:dyDescent="0.2">
      <c r="B7862" s="14" t="s">
        <v>14813</v>
      </c>
      <c r="C7862" s="14" t="s">
        <v>14814</v>
      </c>
      <c r="D7862" s="14">
        <v>1</v>
      </c>
      <c r="E7862" s="17">
        <v>8915.65</v>
      </c>
      <c r="F7862" s="16" t="s">
        <v>8</v>
      </c>
      <c r="G7862" s="14"/>
    </row>
    <row r="7863" spans="2:7" ht="11.25" outlineLevel="4" x14ac:dyDescent="0.2">
      <c r="B7863" s="14" t="s">
        <v>14815</v>
      </c>
      <c r="C7863" s="14" t="s">
        <v>14816</v>
      </c>
      <c r="D7863" s="14">
        <v>1</v>
      </c>
      <c r="E7863" s="17">
        <v>9042.27</v>
      </c>
      <c r="F7863" s="16" t="s">
        <v>8</v>
      </c>
      <c r="G7863" s="14"/>
    </row>
    <row r="7864" spans="2:7" ht="11.25" outlineLevel="4" x14ac:dyDescent="0.2">
      <c r="B7864" s="14" t="s">
        <v>14817</v>
      </c>
      <c r="C7864" s="14" t="s">
        <v>14818</v>
      </c>
      <c r="D7864" s="14">
        <v>1</v>
      </c>
      <c r="E7864" s="17">
        <v>9303.6</v>
      </c>
      <c r="F7864" s="16" t="s">
        <v>8</v>
      </c>
      <c r="G7864" s="14"/>
    </row>
    <row r="7865" spans="2:7" ht="11.25" outlineLevel="4" x14ac:dyDescent="0.2">
      <c r="B7865" s="14" t="s">
        <v>14819</v>
      </c>
      <c r="C7865" s="14" t="s">
        <v>14820</v>
      </c>
      <c r="D7865" s="14">
        <v>1</v>
      </c>
      <c r="E7865" s="17">
        <v>9495.7900000000009</v>
      </c>
      <c r="F7865" s="16" t="s">
        <v>8</v>
      </c>
      <c r="G7865" s="14"/>
    </row>
    <row r="7866" spans="2:7" ht="11.25" outlineLevel="4" x14ac:dyDescent="0.2">
      <c r="B7866" s="14" t="s">
        <v>14821</v>
      </c>
      <c r="C7866" s="14" t="s">
        <v>14822</v>
      </c>
      <c r="D7866" s="14">
        <v>1</v>
      </c>
      <c r="E7866" s="17">
        <v>11991</v>
      </c>
      <c r="F7866" s="16" t="s">
        <v>8</v>
      </c>
      <c r="G7866" s="14"/>
    </row>
    <row r="7867" spans="2:7" ht="11.25" outlineLevel="4" x14ac:dyDescent="0.2">
      <c r="B7867" s="14" t="s">
        <v>14823</v>
      </c>
      <c r="C7867" s="14" t="s">
        <v>14824</v>
      </c>
      <c r="D7867" s="14">
        <v>1</v>
      </c>
      <c r="E7867" s="17">
        <v>12419.09</v>
      </c>
      <c r="F7867" s="16" t="s">
        <v>8</v>
      </c>
      <c r="G7867" s="14"/>
    </row>
    <row r="7868" spans="2:7" ht="11.25" outlineLevel="4" x14ac:dyDescent="0.2">
      <c r="B7868" s="14" t="s">
        <v>14825</v>
      </c>
      <c r="C7868" s="14" t="s">
        <v>14826</v>
      </c>
      <c r="D7868" s="14">
        <v>1</v>
      </c>
      <c r="E7868" s="17">
        <v>13177.87</v>
      </c>
      <c r="F7868" s="16" t="s">
        <v>8</v>
      </c>
      <c r="G7868" s="14"/>
    </row>
    <row r="7869" spans="2:7" ht="11.25" outlineLevel="4" x14ac:dyDescent="0.2">
      <c r="B7869" s="14" t="s">
        <v>14827</v>
      </c>
      <c r="C7869" s="14" t="s">
        <v>14828</v>
      </c>
      <c r="D7869" s="14">
        <v>1</v>
      </c>
      <c r="E7869" s="17">
        <v>19013.62</v>
      </c>
      <c r="F7869" s="16" t="s">
        <v>8</v>
      </c>
      <c r="G7869" s="14"/>
    </row>
    <row r="7870" spans="2:7" ht="11.25" outlineLevel="4" x14ac:dyDescent="0.2">
      <c r="B7870" s="14" t="s">
        <v>14829</v>
      </c>
      <c r="C7870" s="14" t="s">
        <v>14830</v>
      </c>
      <c r="D7870" s="14">
        <v>1</v>
      </c>
      <c r="E7870" s="17">
        <v>28308.23</v>
      </c>
      <c r="F7870" s="16" t="s">
        <v>8</v>
      </c>
      <c r="G7870" s="14"/>
    </row>
    <row r="7871" spans="2:7" ht="11.25" outlineLevel="4" x14ac:dyDescent="0.2">
      <c r="B7871" s="14" t="s">
        <v>14831</v>
      </c>
      <c r="C7871" s="14" t="s">
        <v>14832</v>
      </c>
      <c r="D7871" s="14">
        <v>1</v>
      </c>
      <c r="E7871" s="17">
        <v>36084.94</v>
      </c>
      <c r="F7871" s="16" t="s">
        <v>8</v>
      </c>
      <c r="G7871" s="14"/>
    </row>
    <row r="7872" spans="2:7" ht="11.25" outlineLevel="4" x14ac:dyDescent="0.2">
      <c r="B7872" s="14" t="s">
        <v>14833</v>
      </c>
      <c r="C7872" s="14" t="s">
        <v>14834</v>
      </c>
      <c r="D7872" s="14">
        <v>1</v>
      </c>
      <c r="E7872" s="17">
        <v>58227.040000000001</v>
      </c>
      <c r="F7872" s="16" t="s">
        <v>8</v>
      </c>
      <c r="G7872" s="14"/>
    </row>
    <row r="7873" spans="2:7" ht="11.25" outlineLevel="4" x14ac:dyDescent="0.2">
      <c r="B7873" s="14" t="s">
        <v>14835</v>
      </c>
      <c r="C7873" s="14" t="s">
        <v>14836</v>
      </c>
      <c r="D7873" s="14">
        <v>1</v>
      </c>
      <c r="E7873" s="17">
        <v>64764.56</v>
      </c>
      <c r="F7873" s="16" t="s">
        <v>8</v>
      </c>
      <c r="G7873" s="14"/>
    </row>
    <row r="7874" spans="2:7" ht="12" outlineLevel="3" x14ac:dyDescent="0.2">
      <c r="B7874" s="10"/>
      <c r="C7874" s="36" t="s">
        <v>14837</v>
      </c>
      <c r="D7874" s="10"/>
      <c r="E7874" s="11"/>
      <c r="F7874" s="11"/>
      <c r="G7874" s="10"/>
    </row>
    <row r="7875" spans="2:7" ht="11.25" outlineLevel="4" x14ac:dyDescent="0.2">
      <c r="B7875" s="14" t="s">
        <v>14838</v>
      </c>
      <c r="C7875" s="14" t="s">
        <v>14839</v>
      </c>
      <c r="D7875" s="14">
        <v>1</v>
      </c>
      <c r="E7875" s="17">
        <v>8097.7</v>
      </c>
      <c r="F7875" s="16" t="s">
        <v>8</v>
      </c>
      <c r="G7875" s="14"/>
    </row>
    <row r="7876" spans="2:7" ht="11.25" outlineLevel="4" x14ac:dyDescent="0.2">
      <c r="B7876" s="14" t="s">
        <v>14840</v>
      </c>
      <c r="C7876" s="14" t="s">
        <v>14841</v>
      </c>
      <c r="D7876" s="14">
        <v>1</v>
      </c>
      <c r="E7876" s="17">
        <v>8396.48</v>
      </c>
      <c r="F7876" s="16" t="s">
        <v>8</v>
      </c>
      <c r="G7876" s="14"/>
    </row>
    <row r="7877" spans="2:7" ht="11.25" outlineLevel="4" x14ac:dyDescent="0.2">
      <c r="B7877" s="14" t="s">
        <v>14842</v>
      </c>
      <c r="C7877" s="14" t="s">
        <v>14843</v>
      </c>
      <c r="D7877" s="14">
        <v>1</v>
      </c>
      <c r="E7877" s="17">
        <v>8782.68</v>
      </c>
      <c r="F7877" s="16" t="s">
        <v>8</v>
      </c>
      <c r="G7877" s="14"/>
    </row>
    <row r="7878" spans="2:7" ht="11.25" outlineLevel="4" x14ac:dyDescent="0.2">
      <c r="B7878" s="14" t="s">
        <v>14844</v>
      </c>
      <c r="C7878" s="14" t="s">
        <v>14845</v>
      </c>
      <c r="D7878" s="14">
        <v>1</v>
      </c>
      <c r="E7878" s="17">
        <v>8887.77</v>
      </c>
      <c r="F7878" s="16" t="s">
        <v>8</v>
      </c>
      <c r="G7878" s="14"/>
    </row>
    <row r="7879" spans="2:7" ht="11.25" outlineLevel="4" x14ac:dyDescent="0.2">
      <c r="B7879" s="14" t="s">
        <v>14846</v>
      </c>
      <c r="C7879" s="14" t="s">
        <v>14847</v>
      </c>
      <c r="D7879" s="14">
        <v>1</v>
      </c>
      <c r="E7879" s="17">
        <v>11363.7</v>
      </c>
      <c r="F7879" s="16" t="s">
        <v>8</v>
      </c>
      <c r="G7879" s="14"/>
    </row>
    <row r="7880" spans="2:7" ht="11.25" outlineLevel="4" x14ac:dyDescent="0.2">
      <c r="B7880" s="14" t="s">
        <v>14848</v>
      </c>
      <c r="C7880" s="14" t="s">
        <v>14849</v>
      </c>
      <c r="D7880" s="14">
        <v>1</v>
      </c>
      <c r="E7880" s="17">
        <v>11767.39</v>
      </c>
      <c r="F7880" s="16" t="s">
        <v>8</v>
      </c>
      <c r="G7880" s="14"/>
    </row>
    <row r="7881" spans="2:7" ht="11.25" outlineLevel="4" x14ac:dyDescent="0.2">
      <c r="B7881" s="14" t="s">
        <v>14850</v>
      </c>
      <c r="C7881" s="14" t="s">
        <v>14851</v>
      </c>
      <c r="D7881" s="14">
        <v>1</v>
      </c>
      <c r="E7881" s="17">
        <v>11551.53</v>
      </c>
      <c r="F7881" s="16" t="s">
        <v>8</v>
      </c>
      <c r="G7881" s="14"/>
    </row>
    <row r="7882" spans="2:7" ht="11.25" outlineLevel="4" x14ac:dyDescent="0.2">
      <c r="B7882" s="14" t="s">
        <v>14852</v>
      </c>
      <c r="C7882" s="14" t="s">
        <v>14853</v>
      </c>
      <c r="D7882" s="14">
        <v>1</v>
      </c>
      <c r="E7882" s="17">
        <v>8749.58</v>
      </c>
      <c r="F7882" s="16" t="s">
        <v>8</v>
      </c>
      <c r="G7882" s="14"/>
    </row>
    <row r="7883" spans="2:7" ht="11.25" outlineLevel="4" x14ac:dyDescent="0.2">
      <c r="B7883" s="14" t="s">
        <v>14854</v>
      </c>
      <c r="C7883" s="14" t="s">
        <v>14855</v>
      </c>
      <c r="D7883" s="14">
        <v>1</v>
      </c>
      <c r="E7883" s="17">
        <v>17257.23</v>
      </c>
      <c r="F7883" s="16" t="s">
        <v>8</v>
      </c>
      <c r="G7883" s="14"/>
    </row>
    <row r="7884" spans="2:7" ht="11.25" outlineLevel="4" x14ac:dyDescent="0.2">
      <c r="B7884" s="14" t="s">
        <v>14856</v>
      </c>
      <c r="C7884" s="14" t="s">
        <v>14857</v>
      </c>
      <c r="D7884" s="14">
        <v>1</v>
      </c>
      <c r="E7884" s="17">
        <v>17449.150000000001</v>
      </c>
      <c r="F7884" s="16" t="s">
        <v>8</v>
      </c>
      <c r="G7884" s="14"/>
    </row>
    <row r="7885" spans="2:7" ht="11.25" outlineLevel="4" x14ac:dyDescent="0.2">
      <c r="B7885" s="14" t="s">
        <v>14858</v>
      </c>
      <c r="C7885" s="14" t="s">
        <v>14859</v>
      </c>
      <c r="D7885" s="14">
        <v>1</v>
      </c>
      <c r="E7885" s="17">
        <v>23537.84</v>
      </c>
      <c r="F7885" s="16" t="s">
        <v>8</v>
      </c>
      <c r="G7885" s="14"/>
    </row>
    <row r="7886" spans="2:7" ht="11.25" outlineLevel="4" x14ac:dyDescent="0.2">
      <c r="B7886" s="14" t="s">
        <v>14860</v>
      </c>
      <c r="C7886" s="14" t="s">
        <v>14861</v>
      </c>
      <c r="D7886" s="14">
        <v>1</v>
      </c>
      <c r="E7886" s="17">
        <v>31599.68</v>
      </c>
      <c r="F7886" s="16" t="s">
        <v>8</v>
      </c>
      <c r="G7886" s="14"/>
    </row>
    <row r="7887" spans="2:7" ht="11.25" outlineLevel="4" x14ac:dyDescent="0.2">
      <c r="B7887" s="14" t="s">
        <v>14862</v>
      </c>
      <c r="C7887" s="14" t="s">
        <v>14863</v>
      </c>
      <c r="D7887" s="14">
        <v>1</v>
      </c>
      <c r="E7887" s="17">
        <v>43182.38</v>
      </c>
      <c r="F7887" s="16" t="s">
        <v>8</v>
      </c>
      <c r="G7887" s="14"/>
    </row>
    <row r="7888" spans="2:7" ht="11.25" outlineLevel="4" x14ac:dyDescent="0.2">
      <c r="B7888" s="14" t="s">
        <v>14864</v>
      </c>
      <c r="C7888" s="14" t="s">
        <v>14865</v>
      </c>
      <c r="D7888" s="14">
        <v>1</v>
      </c>
      <c r="E7888" s="17">
        <v>45450.12</v>
      </c>
      <c r="F7888" s="16" t="s">
        <v>8</v>
      </c>
      <c r="G7888" s="14"/>
    </row>
    <row r="7889" spans="2:7" ht="12" outlineLevel="3" x14ac:dyDescent="0.2">
      <c r="B7889" s="10"/>
      <c r="C7889" s="36" t="s">
        <v>14866</v>
      </c>
      <c r="D7889" s="10"/>
      <c r="E7889" s="11"/>
      <c r="F7889" s="11"/>
      <c r="G7889" s="10"/>
    </row>
    <row r="7890" spans="2:7" ht="11.25" outlineLevel="4" x14ac:dyDescent="0.2">
      <c r="B7890" s="14" t="s">
        <v>14867</v>
      </c>
      <c r="C7890" s="14" t="s">
        <v>14868</v>
      </c>
      <c r="D7890" s="14">
        <v>1</v>
      </c>
      <c r="E7890" s="17">
        <v>14557.23</v>
      </c>
      <c r="F7890" s="16" t="s">
        <v>8</v>
      </c>
      <c r="G7890" s="14"/>
    </row>
    <row r="7891" spans="2:7" ht="11.25" outlineLevel="4" x14ac:dyDescent="0.2">
      <c r="B7891" s="14" t="s">
        <v>14869</v>
      </c>
      <c r="C7891" s="14" t="s">
        <v>14870</v>
      </c>
      <c r="D7891" s="14">
        <v>1</v>
      </c>
      <c r="E7891" s="17">
        <v>14862.98</v>
      </c>
      <c r="F7891" s="16" t="s">
        <v>8</v>
      </c>
      <c r="G7891" s="14"/>
    </row>
    <row r="7892" spans="2:7" ht="11.25" outlineLevel="4" x14ac:dyDescent="0.2">
      <c r="B7892" s="14" t="s">
        <v>14871</v>
      </c>
      <c r="C7892" s="14" t="s">
        <v>14872</v>
      </c>
      <c r="D7892" s="14">
        <v>1</v>
      </c>
      <c r="E7892" s="17">
        <v>14989.61</v>
      </c>
      <c r="F7892" s="16" t="s">
        <v>8</v>
      </c>
      <c r="G7892" s="14"/>
    </row>
    <row r="7893" spans="2:7" ht="11.25" outlineLevel="4" x14ac:dyDescent="0.2">
      <c r="B7893" s="14" t="s">
        <v>14873</v>
      </c>
      <c r="C7893" s="14" t="s">
        <v>14874</v>
      </c>
      <c r="D7893" s="14">
        <v>1</v>
      </c>
      <c r="E7893" s="17">
        <v>15250.92</v>
      </c>
      <c r="F7893" s="16" t="s">
        <v>8</v>
      </c>
      <c r="G7893" s="14"/>
    </row>
    <row r="7894" spans="2:7" ht="11.25" outlineLevel="4" x14ac:dyDescent="0.2">
      <c r="B7894" s="14" t="s">
        <v>14875</v>
      </c>
      <c r="C7894" s="14" t="s">
        <v>14876</v>
      </c>
      <c r="D7894" s="14">
        <v>1</v>
      </c>
      <c r="E7894" s="17">
        <v>15443.13</v>
      </c>
      <c r="F7894" s="16" t="s">
        <v>8</v>
      </c>
      <c r="G7894" s="14"/>
    </row>
    <row r="7895" spans="2:7" ht="11.25" outlineLevel="4" x14ac:dyDescent="0.2">
      <c r="B7895" s="14" t="s">
        <v>14877</v>
      </c>
      <c r="C7895" s="14" t="s">
        <v>14878</v>
      </c>
      <c r="D7895" s="14">
        <v>1</v>
      </c>
      <c r="E7895" s="17">
        <v>17938.32</v>
      </c>
      <c r="F7895" s="16" t="s">
        <v>8</v>
      </c>
      <c r="G7895" s="14"/>
    </row>
    <row r="7896" spans="2:7" ht="11.25" outlineLevel="4" x14ac:dyDescent="0.2">
      <c r="B7896" s="14" t="s">
        <v>14879</v>
      </c>
      <c r="C7896" s="14" t="s">
        <v>14880</v>
      </c>
      <c r="D7896" s="14">
        <v>1</v>
      </c>
      <c r="E7896" s="17">
        <v>18366.419999999998</v>
      </c>
      <c r="F7896" s="16" t="s">
        <v>8</v>
      </c>
      <c r="G7896" s="14"/>
    </row>
    <row r="7897" spans="2:7" ht="11.25" outlineLevel="4" x14ac:dyDescent="0.2">
      <c r="B7897" s="14" t="s">
        <v>14881</v>
      </c>
      <c r="C7897" s="14" t="s">
        <v>14882</v>
      </c>
      <c r="D7897" s="14">
        <v>1</v>
      </c>
      <c r="E7897" s="17">
        <v>19125.22</v>
      </c>
      <c r="F7897" s="16" t="s">
        <v>8</v>
      </c>
      <c r="G7897" s="14"/>
    </row>
    <row r="7898" spans="2:7" ht="11.25" outlineLevel="4" x14ac:dyDescent="0.2">
      <c r="B7898" s="14" t="s">
        <v>14883</v>
      </c>
      <c r="C7898" s="14" t="s">
        <v>14884</v>
      </c>
      <c r="D7898" s="14">
        <v>1</v>
      </c>
      <c r="E7898" s="17">
        <v>24620.959999999999</v>
      </c>
      <c r="F7898" s="16" t="s">
        <v>8</v>
      </c>
      <c r="G7898" s="14"/>
    </row>
    <row r="7899" spans="2:7" ht="11.25" outlineLevel="4" x14ac:dyDescent="0.2">
      <c r="B7899" s="14" t="s">
        <v>14885</v>
      </c>
      <c r="C7899" s="14" t="s">
        <v>14886</v>
      </c>
      <c r="D7899" s="14">
        <v>1</v>
      </c>
      <c r="E7899" s="17">
        <v>25183.96</v>
      </c>
      <c r="F7899" s="16" t="s">
        <v>8</v>
      </c>
      <c r="G7899" s="14"/>
    </row>
    <row r="7900" spans="2:7" ht="11.25" outlineLevel="4" x14ac:dyDescent="0.2">
      <c r="B7900" s="14" t="s">
        <v>14887</v>
      </c>
      <c r="C7900" s="14" t="s">
        <v>14888</v>
      </c>
      <c r="D7900" s="14">
        <v>1</v>
      </c>
      <c r="E7900" s="17">
        <v>33806.44</v>
      </c>
      <c r="F7900" s="16" t="s">
        <v>8</v>
      </c>
      <c r="G7900" s="14"/>
    </row>
    <row r="7901" spans="2:7" ht="11.25" outlineLevel="4" x14ac:dyDescent="0.2">
      <c r="B7901" s="14" t="s">
        <v>14889</v>
      </c>
      <c r="C7901" s="14" t="s">
        <v>14890</v>
      </c>
      <c r="D7901" s="14">
        <v>1</v>
      </c>
      <c r="E7901" s="17">
        <v>41913.449999999997</v>
      </c>
      <c r="F7901" s="16" t="s">
        <v>8</v>
      </c>
      <c r="G7901" s="14"/>
    </row>
    <row r="7902" spans="2:7" ht="11.25" outlineLevel="4" x14ac:dyDescent="0.2">
      <c r="B7902" s="14" t="s">
        <v>14891</v>
      </c>
      <c r="C7902" s="14" t="s">
        <v>14892</v>
      </c>
      <c r="D7902" s="14">
        <v>1</v>
      </c>
      <c r="E7902" s="17">
        <v>64055.56</v>
      </c>
      <c r="F7902" s="16" t="s">
        <v>8</v>
      </c>
      <c r="G7902" s="14"/>
    </row>
    <row r="7903" spans="2:7" ht="11.25" outlineLevel="4" x14ac:dyDescent="0.2">
      <c r="B7903" s="14" t="s">
        <v>14893</v>
      </c>
      <c r="C7903" s="14" t="s">
        <v>14894</v>
      </c>
      <c r="D7903" s="14">
        <v>1</v>
      </c>
      <c r="E7903" s="17">
        <v>70593.08</v>
      </c>
      <c r="F7903" s="16" t="s">
        <v>8</v>
      </c>
      <c r="G7903" s="14"/>
    </row>
    <row r="7904" spans="2:7" ht="12" outlineLevel="3" x14ac:dyDescent="0.2">
      <c r="B7904" s="10"/>
      <c r="C7904" s="36" t="s">
        <v>14895</v>
      </c>
      <c r="D7904" s="10"/>
      <c r="E7904" s="11"/>
      <c r="F7904" s="11"/>
      <c r="G7904" s="10"/>
    </row>
    <row r="7905" spans="2:7" ht="11.25" outlineLevel="4" x14ac:dyDescent="0.2">
      <c r="B7905" s="14" t="s">
        <v>14896</v>
      </c>
      <c r="C7905" s="14" t="s">
        <v>14897</v>
      </c>
      <c r="D7905" s="14">
        <v>1</v>
      </c>
      <c r="E7905" s="17">
        <v>14045.03</v>
      </c>
      <c r="F7905" s="16" t="s">
        <v>8</v>
      </c>
      <c r="G7905" s="14"/>
    </row>
    <row r="7906" spans="2:7" ht="11.25" outlineLevel="4" x14ac:dyDescent="0.2">
      <c r="B7906" s="14" t="s">
        <v>14898</v>
      </c>
      <c r="C7906" s="14" t="s">
        <v>14899</v>
      </c>
      <c r="D7906" s="14">
        <v>1</v>
      </c>
      <c r="E7906" s="17">
        <v>14343.82</v>
      </c>
      <c r="F7906" s="16" t="s">
        <v>8</v>
      </c>
      <c r="G7906" s="14"/>
    </row>
    <row r="7907" spans="2:7" ht="11.25" outlineLevel="4" x14ac:dyDescent="0.2">
      <c r="B7907" s="14" t="s">
        <v>14900</v>
      </c>
      <c r="C7907" s="14" t="s">
        <v>14901</v>
      </c>
      <c r="D7907" s="14">
        <v>1</v>
      </c>
      <c r="E7907" s="17">
        <v>14696.92</v>
      </c>
      <c r="F7907" s="16" t="s">
        <v>8</v>
      </c>
      <c r="G7907" s="14"/>
    </row>
    <row r="7908" spans="2:7" ht="11.25" outlineLevel="4" x14ac:dyDescent="0.2">
      <c r="B7908" s="14" t="s">
        <v>14902</v>
      </c>
      <c r="C7908" s="14" t="s">
        <v>14903</v>
      </c>
      <c r="D7908" s="14">
        <v>1</v>
      </c>
      <c r="E7908" s="17">
        <v>14730.03</v>
      </c>
      <c r="F7908" s="16" t="s">
        <v>8</v>
      </c>
      <c r="G7908" s="14"/>
    </row>
    <row r="7909" spans="2:7" ht="11.25" outlineLevel="4" x14ac:dyDescent="0.2">
      <c r="B7909" s="14" t="s">
        <v>14904</v>
      </c>
      <c r="C7909" s="14" t="s">
        <v>14905</v>
      </c>
      <c r="D7909" s="14">
        <v>1</v>
      </c>
      <c r="E7909" s="17">
        <v>14835.11</v>
      </c>
      <c r="F7909" s="16" t="s">
        <v>8</v>
      </c>
      <c r="G7909" s="14"/>
    </row>
    <row r="7910" spans="2:7" ht="11.25" outlineLevel="4" x14ac:dyDescent="0.2">
      <c r="B7910" s="14" t="s">
        <v>14906</v>
      </c>
      <c r="C7910" s="14" t="s">
        <v>14907</v>
      </c>
      <c r="D7910" s="14">
        <v>1</v>
      </c>
      <c r="E7910" s="17">
        <v>17335.53</v>
      </c>
      <c r="F7910" s="16" t="s">
        <v>8</v>
      </c>
      <c r="G7910" s="14"/>
    </row>
    <row r="7911" spans="2:7" ht="11.25" outlineLevel="4" x14ac:dyDescent="0.2">
      <c r="B7911" s="14" t="s">
        <v>14908</v>
      </c>
      <c r="C7911" s="14" t="s">
        <v>14909</v>
      </c>
      <c r="D7911" s="14">
        <v>1</v>
      </c>
      <c r="E7911" s="17">
        <v>17754.91</v>
      </c>
      <c r="F7911" s="16" t="s">
        <v>8</v>
      </c>
      <c r="G7911" s="14"/>
    </row>
    <row r="7912" spans="2:7" ht="11.25" outlineLevel="4" x14ac:dyDescent="0.2">
      <c r="B7912" s="14" t="s">
        <v>14910</v>
      </c>
      <c r="C7912" s="14" t="s">
        <v>14911</v>
      </c>
      <c r="D7912" s="14">
        <v>1</v>
      </c>
      <c r="E7912" s="17">
        <v>17498.88</v>
      </c>
      <c r="F7912" s="16" t="s">
        <v>8</v>
      </c>
      <c r="G7912" s="14"/>
    </row>
    <row r="7913" spans="2:7" ht="11.25" outlineLevel="4" x14ac:dyDescent="0.2">
      <c r="B7913" s="14" t="s">
        <v>14912</v>
      </c>
      <c r="C7913" s="14" t="s">
        <v>14913</v>
      </c>
      <c r="D7913" s="14">
        <v>1</v>
      </c>
      <c r="E7913" s="17">
        <v>22958.3</v>
      </c>
      <c r="F7913" s="16" t="s">
        <v>8</v>
      </c>
      <c r="G7913" s="14"/>
    </row>
    <row r="7914" spans="2:7" ht="11.25" outlineLevel="4" x14ac:dyDescent="0.2">
      <c r="B7914" s="14" t="s">
        <v>14914</v>
      </c>
      <c r="C7914" s="14" t="s">
        <v>14915</v>
      </c>
      <c r="D7914" s="14">
        <v>1</v>
      </c>
      <c r="E7914" s="17">
        <v>23526.55</v>
      </c>
      <c r="F7914" s="16" t="s">
        <v>8</v>
      </c>
      <c r="G7914" s="14"/>
    </row>
    <row r="7915" spans="2:7" ht="11.25" outlineLevel="4" x14ac:dyDescent="0.2">
      <c r="B7915" s="14" t="s">
        <v>14916</v>
      </c>
      <c r="C7915" s="14" t="s">
        <v>14917</v>
      </c>
      <c r="D7915" s="14">
        <v>1</v>
      </c>
      <c r="E7915" s="17">
        <v>29036.05</v>
      </c>
      <c r="F7915" s="16" t="s">
        <v>8</v>
      </c>
      <c r="G7915" s="14"/>
    </row>
    <row r="7916" spans="2:7" ht="11.25" outlineLevel="4" x14ac:dyDescent="0.2">
      <c r="B7916" s="14" t="s">
        <v>14918</v>
      </c>
      <c r="C7916" s="14" t="s">
        <v>14919</v>
      </c>
      <c r="D7916" s="14">
        <v>1</v>
      </c>
      <c r="E7916" s="17">
        <v>37428.19</v>
      </c>
      <c r="F7916" s="16" t="s">
        <v>8</v>
      </c>
      <c r="G7916" s="14"/>
    </row>
    <row r="7917" spans="2:7" ht="11.25" outlineLevel="4" x14ac:dyDescent="0.2">
      <c r="B7917" s="14" t="s">
        <v>14920</v>
      </c>
      <c r="C7917" s="14" t="s">
        <v>14921</v>
      </c>
      <c r="D7917" s="14">
        <v>1</v>
      </c>
      <c r="E7917" s="17">
        <v>54665.02</v>
      </c>
      <c r="F7917" s="16" t="s">
        <v>8</v>
      </c>
      <c r="G7917" s="14"/>
    </row>
    <row r="7918" spans="2:7" ht="11.25" outlineLevel="4" x14ac:dyDescent="0.2">
      <c r="B7918" s="14" t="s">
        <v>14922</v>
      </c>
      <c r="C7918" s="14" t="s">
        <v>14923</v>
      </c>
      <c r="D7918" s="14">
        <v>1</v>
      </c>
      <c r="E7918" s="17">
        <v>56201.66</v>
      </c>
      <c r="F7918" s="16" t="s">
        <v>8</v>
      </c>
      <c r="G7918" s="14"/>
    </row>
    <row r="7919" spans="2:7" ht="12" outlineLevel="1" x14ac:dyDescent="0.2">
      <c r="B7919" s="6"/>
      <c r="C7919" s="34" t="s">
        <v>14924</v>
      </c>
      <c r="D7919" s="6"/>
      <c r="E7919" s="7"/>
      <c r="F7919" s="7"/>
      <c r="G7919" s="6"/>
    </row>
    <row r="7920" spans="2:7" ht="12" outlineLevel="2" x14ac:dyDescent="0.2">
      <c r="B7920" s="8"/>
      <c r="C7920" s="35" t="s">
        <v>14925</v>
      </c>
      <c r="D7920" s="8"/>
      <c r="E7920" s="9"/>
      <c r="F7920" s="9"/>
      <c r="G7920" s="8"/>
    </row>
    <row r="7921" spans="2:7" ht="12" outlineLevel="3" x14ac:dyDescent="0.2">
      <c r="B7921" s="10"/>
      <c r="C7921" s="36" t="s">
        <v>14926</v>
      </c>
      <c r="D7921" s="10"/>
      <c r="E7921" s="11"/>
      <c r="F7921" s="11"/>
      <c r="G7921" s="10"/>
    </row>
    <row r="7922" spans="2:7" ht="22.5" outlineLevel="4" x14ac:dyDescent="0.2">
      <c r="B7922" s="14" t="s">
        <v>14927</v>
      </c>
      <c r="C7922" s="14" t="s">
        <v>14928</v>
      </c>
      <c r="D7922" s="14">
        <v>1</v>
      </c>
      <c r="E7922" s="15">
        <v>519.45000000000005</v>
      </c>
      <c r="F7922" s="16" t="s">
        <v>8</v>
      </c>
      <c r="G7922" s="14"/>
    </row>
    <row r="7923" spans="2:7" ht="22.5" outlineLevel="4" x14ac:dyDescent="0.2">
      <c r="B7923" s="14" t="s">
        <v>14929</v>
      </c>
      <c r="C7923" s="14" t="s">
        <v>14930</v>
      </c>
      <c r="D7923" s="14">
        <v>1</v>
      </c>
      <c r="E7923" s="15">
        <v>498.37</v>
      </c>
      <c r="F7923" s="16" t="s">
        <v>8</v>
      </c>
      <c r="G7923" s="14"/>
    </row>
    <row r="7924" spans="2:7" ht="12" outlineLevel="3" x14ac:dyDescent="0.2">
      <c r="B7924" s="10"/>
      <c r="C7924" s="36" t="s">
        <v>14931</v>
      </c>
      <c r="D7924" s="10"/>
      <c r="E7924" s="11"/>
      <c r="F7924" s="11"/>
      <c r="G7924" s="10"/>
    </row>
    <row r="7925" spans="2:7" ht="11.25" outlineLevel="4" x14ac:dyDescent="0.2">
      <c r="B7925" s="14" t="s">
        <v>14932</v>
      </c>
      <c r="C7925" s="14" t="s">
        <v>14933</v>
      </c>
      <c r="D7925" s="14">
        <v>1</v>
      </c>
      <c r="E7925" s="15">
        <v>830.2</v>
      </c>
      <c r="F7925" s="16" t="s">
        <v>8</v>
      </c>
      <c r="G7925" s="38" t="str">
        <f>HYPERLINK("http://enext.ua/POLT44015")</f>
        <v>http://enext.ua/POLT44015</v>
      </c>
    </row>
    <row r="7926" spans="2:7" ht="11.25" outlineLevel="4" x14ac:dyDescent="0.2">
      <c r="B7926" s="14" t="s">
        <v>14934</v>
      </c>
      <c r="C7926" s="14" t="s">
        <v>14935</v>
      </c>
      <c r="D7926" s="14">
        <v>1</v>
      </c>
      <c r="E7926" s="15">
        <v>833.56</v>
      </c>
      <c r="F7926" s="16" t="s">
        <v>8</v>
      </c>
      <c r="G7926" s="38" t="str">
        <f>HYPERLINK("http://enext.ua/POLT44030")</f>
        <v>http://enext.ua/POLT44030</v>
      </c>
    </row>
    <row r="7927" spans="2:7" ht="11.25" outlineLevel="4" x14ac:dyDescent="0.2">
      <c r="B7927" s="14" t="s">
        <v>14936</v>
      </c>
      <c r="C7927" s="14" t="s">
        <v>14937</v>
      </c>
      <c r="D7927" s="14">
        <v>1</v>
      </c>
      <c r="E7927" s="17">
        <v>1318.27</v>
      </c>
      <c r="F7927" s="16" t="s">
        <v>8</v>
      </c>
      <c r="G7927" s="38" t="str">
        <f>HYPERLINK("http://enext.ua/POLT44062")</f>
        <v>http://enext.ua/POLT44062</v>
      </c>
    </row>
    <row r="7928" spans="2:7" ht="11.25" outlineLevel="4" x14ac:dyDescent="0.2">
      <c r="B7928" s="14" t="s">
        <v>14938</v>
      </c>
      <c r="C7928" s="14" t="s">
        <v>14939</v>
      </c>
      <c r="D7928" s="14">
        <v>1</v>
      </c>
      <c r="E7928" s="17">
        <v>1655.09</v>
      </c>
      <c r="F7928" s="16" t="s">
        <v>8</v>
      </c>
      <c r="G7928" s="38" t="str">
        <f>HYPERLINK("http://enext.ua/POLB46075SK")</f>
        <v>http://enext.ua/POLB46075SK</v>
      </c>
    </row>
    <row r="7929" spans="2:7" ht="11.25" outlineLevel="4" x14ac:dyDescent="0.2">
      <c r="B7929" s="14" t="s">
        <v>14940</v>
      </c>
      <c r="C7929" s="14" t="s">
        <v>14941</v>
      </c>
      <c r="D7929" s="14">
        <v>1</v>
      </c>
      <c r="E7929" s="17">
        <v>1728.33</v>
      </c>
      <c r="F7929" s="16" t="s">
        <v>8</v>
      </c>
      <c r="G7929" s="38" t="str">
        <f>HYPERLINK("http://enext.ua/POLB44125SK")</f>
        <v>http://enext.ua/POLB44125SK</v>
      </c>
    </row>
    <row r="7930" spans="2:7" ht="11.25" outlineLevel="4" x14ac:dyDescent="0.2">
      <c r="B7930" s="14" t="s">
        <v>14942</v>
      </c>
      <c r="C7930" s="14" t="s">
        <v>14943</v>
      </c>
      <c r="D7930" s="14">
        <v>1</v>
      </c>
      <c r="E7930" s="17">
        <v>2008.75</v>
      </c>
      <c r="F7930" s="16" t="s">
        <v>8</v>
      </c>
      <c r="G7930" s="38" t="str">
        <f>HYPERLINK("http://enext.ua/POLB44150SK")</f>
        <v>http://enext.ua/POLB44150SK</v>
      </c>
    </row>
    <row r="7931" spans="2:7" ht="22.5" outlineLevel="4" x14ac:dyDescent="0.2">
      <c r="B7931" s="14" t="s">
        <v>14944</v>
      </c>
      <c r="C7931" s="14" t="s">
        <v>14945</v>
      </c>
      <c r="D7931" s="14">
        <v>1</v>
      </c>
      <c r="E7931" s="17">
        <v>1728.33</v>
      </c>
      <c r="F7931" s="16" t="s">
        <v>8</v>
      </c>
      <c r="G7931" s="14"/>
    </row>
    <row r="7932" spans="2:7" ht="11.25" outlineLevel="4" x14ac:dyDescent="0.2">
      <c r="B7932" s="14" t="s">
        <v>14946</v>
      </c>
      <c r="C7932" s="14" t="s">
        <v>14947</v>
      </c>
      <c r="D7932" s="14">
        <v>1</v>
      </c>
      <c r="E7932" s="17">
        <v>2209.19</v>
      </c>
      <c r="F7932" s="16" t="s">
        <v>8</v>
      </c>
      <c r="G7932" s="38" t="str">
        <f>HYPERLINK("http://enext.ua/POLB46125SK")</f>
        <v>http://enext.ua/POLB46125SK</v>
      </c>
    </row>
    <row r="7933" spans="2:7" ht="11.25" outlineLevel="4" x14ac:dyDescent="0.2">
      <c r="B7933" s="14" t="s">
        <v>14948</v>
      </c>
      <c r="C7933" s="14" t="s">
        <v>14949</v>
      </c>
      <c r="D7933" s="14">
        <v>1</v>
      </c>
      <c r="E7933" s="17">
        <v>2482.38</v>
      </c>
      <c r="F7933" s="16" t="s">
        <v>8</v>
      </c>
      <c r="G7933" s="38" t="str">
        <f>HYPERLINK("http://enext.ua/POLB44182SK")</f>
        <v>http://enext.ua/POLB44182SK</v>
      </c>
    </row>
    <row r="7934" spans="2:7" ht="22.5" outlineLevel="4" x14ac:dyDescent="0.2">
      <c r="B7934" s="14" t="s">
        <v>14950</v>
      </c>
      <c r="C7934" s="14" t="s">
        <v>14951</v>
      </c>
      <c r="D7934" s="14">
        <v>1</v>
      </c>
      <c r="E7934" s="17">
        <v>2008.75</v>
      </c>
      <c r="F7934" s="16" t="s">
        <v>8</v>
      </c>
      <c r="G7934" s="14"/>
    </row>
    <row r="7935" spans="2:7" ht="11.25" outlineLevel="4" x14ac:dyDescent="0.2">
      <c r="B7935" s="14" t="s">
        <v>14952</v>
      </c>
      <c r="C7935" s="14" t="s">
        <v>14953</v>
      </c>
      <c r="D7935" s="14">
        <v>1</v>
      </c>
      <c r="E7935" s="17">
        <v>2672.22</v>
      </c>
      <c r="F7935" s="16" t="s">
        <v>8</v>
      </c>
      <c r="G7935" s="38" t="str">
        <f>HYPERLINK("http://enext.ua/POLB44250SK")</f>
        <v>http://enext.ua/POLB44250SK</v>
      </c>
    </row>
    <row r="7936" spans="2:7" ht="11.25" outlineLevel="4" x14ac:dyDescent="0.2">
      <c r="B7936" s="14" t="s">
        <v>14954</v>
      </c>
      <c r="C7936" s="14" t="s">
        <v>14955</v>
      </c>
      <c r="D7936" s="14">
        <v>1</v>
      </c>
      <c r="E7936" s="17">
        <v>2746.42</v>
      </c>
      <c r="F7936" s="16" t="s">
        <v>8</v>
      </c>
      <c r="G7936" s="38" t="str">
        <f>HYPERLINK("http://enext.ua/POLB46200SK")</f>
        <v>http://enext.ua/POLB46200SK</v>
      </c>
    </row>
    <row r="7937" spans="2:7" ht="11.25" outlineLevel="4" x14ac:dyDescent="0.2">
      <c r="B7937" s="14" t="s">
        <v>14956</v>
      </c>
      <c r="C7937" s="14" t="s">
        <v>14957</v>
      </c>
      <c r="D7937" s="14">
        <v>1</v>
      </c>
      <c r="E7937" s="17">
        <v>3274.02</v>
      </c>
      <c r="F7937" s="16" t="s">
        <v>8</v>
      </c>
      <c r="G7937" s="38" t="str">
        <f>HYPERLINK("http://enext.ua/POLB44300SK")</f>
        <v>http://enext.ua/POLB44300SK</v>
      </c>
    </row>
    <row r="7938" spans="2:7" ht="22.5" outlineLevel="4" x14ac:dyDescent="0.2">
      <c r="B7938" s="14" t="s">
        <v>14958</v>
      </c>
      <c r="C7938" s="14" t="s">
        <v>14959</v>
      </c>
      <c r="D7938" s="14">
        <v>1</v>
      </c>
      <c r="E7938" s="17">
        <v>2672.22</v>
      </c>
      <c r="F7938" s="16" t="s">
        <v>8</v>
      </c>
      <c r="G7938" s="14"/>
    </row>
    <row r="7939" spans="2:7" ht="11.25" outlineLevel="4" x14ac:dyDescent="0.2">
      <c r="B7939" s="14" t="s">
        <v>14960</v>
      </c>
      <c r="C7939" s="14" t="s">
        <v>14961</v>
      </c>
      <c r="D7939" s="14">
        <v>1</v>
      </c>
      <c r="E7939" s="17">
        <v>3369.91</v>
      </c>
      <c r="F7939" s="16" t="s">
        <v>8</v>
      </c>
      <c r="G7939" s="38" t="str">
        <f>HYPERLINK("http://enext.ua/POLB46250SK")</f>
        <v>http://enext.ua/POLB46250SK</v>
      </c>
    </row>
    <row r="7940" spans="2:7" ht="11.25" outlineLevel="4" x14ac:dyDescent="0.2">
      <c r="B7940" s="14" t="s">
        <v>14962</v>
      </c>
      <c r="C7940" s="14" t="s">
        <v>14963</v>
      </c>
      <c r="D7940" s="14">
        <v>1</v>
      </c>
      <c r="E7940" s="17">
        <v>4806.71</v>
      </c>
      <c r="F7940" s="16" t="s">
        <v>8</v>
      </c>
      <c r="G7940" s="38" t="str">
        <f>HYPERLINK("http://enext.ua/POLB44364SK")</f>
        <v>http://enext.ua/POLB44364SK</v>
      </c>
    </row>
    <row r="7941" spans="2:7" ht="22.5" outlineLevel="4" x14ac:dyDescent="0.2">
      <c r="B7941" s="14" t="s">
        <v>14964</v>
      </c>
      <c r="C7941" s="14" t="s">
        <v>14965</v>
      </c>
      <c r="D7941" s="14">
        <v>1</v>
      </c>
      <c r="E7941" s="17">
        <v>3274.02</v>
      </c>
      <c r="F7941" s="16" t="s">
        <v>8</v>
      </c>
      <c r="G7941" s="14"/>
    </row>
    <row r="7942" spans="2:7" ht="11.25" outlineLevel="4" x14ac:dyDescent="0.2">
      <c r="B7942" s="14" t="s">
        <v>14966</v>
      </c>
      <c r="C7942" s="14" t="s">
        <v>14967</v>
      </c>
      <c r="D7942" s="14">
        <v>1</v>
      </c>
      <c r="E7942" s="17">
        <v>4446.3100000000004</v>
      </c>
      <c r="F7942" s="16" t="s">
        <v>8</v>
      </c>
      <c r="G7942" s="38" t="str">
        <f>HYPERLINK("http://enext.ua/POLB46300SK")</f>
        <v>http://enext.ua/POLB46300SK</v>
      </c>
    </row>
    <row r="7943" spans="2:7" ht="11.25" outlineLevel="4" x14ac:dyDescent="0.2">
      <c r="B7943" s="14" t="s">
        <v>14968</v>
      </c>
      <c r="C7943" s="14" t="s">
        <v>14969</v>
      </c>
      <c r="D7943" s="14">
        <v>1</v>
      </c>
      <c r="E7943" s="17">
        <v>7132.02</v>
      </c>
      <c r="F7943" s="16" t="s">
        <v>8</v>
      </c>
      <c r="G7943" s="38" t="str">
        <f>HYPERLINK("http://enext.ua/POLB44500SK")</f>
        <v>http://enext.ua/POLB44500SK</v>
      </c>
    </row>
    <row r="7944" spans="2:7" ht="11.25" outlineLevel="4" x14ac:dyDescent="0.2">
      <c r="B7944" s="14" t="s">
        <v>14970</v>
      </c>
      <c r="C7944" s="14" t="s">
        <v>14971</v>
      </c>
      <c r="D7944" s="14">
        <v>1</v>
      </c>
      <c r="E7944" s="17">
        <v>9137.8799999999992</v>
      </c>
      <c r="F7944" s="16" t="s">
        <v>8</v>
      </c>
      <c r="G7944" s="38" t="str">
        <f>HYPERLINK("http://enext.ua/POLB40500SK")</f>
        <v>http://enext.ua/POLB40500SK</v>
      </c>
    </row>
    <row r="7945" spans="2:7" ht="12" outlineLevel="3" x14ac:dyDescent="0.2">
      <c r="B7945" s="10"/>
      <c r="C7945" s="36" t="s">
        <v>14972</v>
      </c>
      <c r="D7945" s="10"/>
      <c r="E7945" s="11"/>
      <c r="F7945" s="11"/>
      <c r="G7945" s="10"/>
    </row>
    <row r="7946" spans="2:7" ht="11.25" outlineLevel="4" x14ac:dyDescent="0.2">
      <c r="B7946" s="14" t="s">
        <v>14973</v>
      </c>
      <c r="C7946" s="14" t="s">
        <v>14974</v>
      </c>
      <c r="D7946" s="14">
        <v>1</v>
      </c>
      <c r="E7946" s="17">
        <v>7174.91</v>
      </c>
      <c r="F7946" s="16" t="s">
        <v>8</v>
      </c>
      <c r="G7946" s="38" t="str">
        <f>HYPERLINK("http://enext.ua/INR40057")</f>
        <v>http://enext.ua/INR40057</v>
      </c>
    </row>
    <row r="7947" spans="2:7" ht="11.25" outlineLevel="4" x14ac:dyDescent="0.2">
      <c r="B7947" s="14" t="s">
        <v>14975</v>
      </c>
      <c r="C7947" s="14" t="s">
        <v>14976</v>
      </c>
      <c r="D7947" s="14">
        <v>1</v>
      </c>
      <c r="E7947" s="17">
        <v>9255.4</v>
      </c>
      <c r="F7947" s="16" t="s">
        <v>8</v>
      </c>
      <c r="G7947" s="38" t="str">
        <f>HYPERLINK("http://enext.ua/INR40107")</f>
        <v>http://enext.ua/INR40107</v>
      </c>
    </row>
    <row r="7948" spans="2:7" ht="11.25" outlineLevel="4" x14ac:dyDescent="0.2">
      <c r="B7948" s="14" t="s">
        <v>14977</v>
      </c>
      <c r="C7948" s="14" t="s">
        <v>14978</v>
      </c>
      <c r="D7948" s="14">
        <v>1</v>
      </c>
      <c r="E7948" s="17">
        <v>9470.33</v>
      </c>
      <c r="F7948" s="16" t="s">
        <v>8</v>
      </c>
      <c r="G7948" s="38" t="str">
        <f>HYPERLINK("http://enext.ua/INR40157")</f>
        <v>http://enext.ua/INR40157</v>
      </c>
    </row>
    <row r="7949" spans="2:7" ht="11.25" outlineLevel="4" x14ac:dyDescent="0.2">
      <c r="B7949" s="14" t="s">
        <v>14979</v>
      </c>
      <c r="C7949" s="14" t="s">
        <v>14980</v>
      </c>
      <c r="D7949" s="14">
        <v>1</v>
      </c>
      <c r="E7949" s="17">
        <v>11383.19</v>
      </c>
      <c r="F7949" s="16" t="s">
        <v>8</v>
      </c>
      <c r="G7949" s="38" t="str">
        <f>HYPERLINK("http://enext.ua/INA40207")</f>
        <v>http://enext.ua/INA40207</v>
      </c>
    </row>
    <row r="7950" spans="2:7" ht="11.25" outlineLevel="4" x14ac:dyDescent="0.2">
      <c r="B7950" s="14" t="s">
        <v>14981</v>
      </c>
      <c r="C7950" s="14" t="s">
        <v>14982</v>
      </c>
      <c r="D7950" s="14">
        <v>1</v>
      </c>
      <c r="E7950" s="17">
        <v>11383.19</v>
      </c>
      <c r="F7950" s="16" t="s">
        <v>8</v>
      </c>
      <c r="G7950" s="38" t="str">
        <f>HYPERLINK("http://enext.ua/INA40257")</f>
        <v>http://enext.ua/INA40257</v>
      </c>
    </row>
    <row r="7951" spans="2:7" ht="12" outlineLevel="3" x14ac:dyDescent="0.2">
      <c r="B7951" s="10"/>
      <c r="C7951" s="36" t="s">
        <v>14983</v>
      </c>
      <c r="D7951" s="10"/>
      <c r="E7951" s="11"/>
      <c r="F7951" s="11"/>
      <c r="G7951" s="10"/>
    </row>
    <row r="7952" spans="2:7" ht="11.25" outlineLevel="4" x14ac:dyDescent="0.2">
      <c r="B7952" s="14" t="s">
        <v>14984</v>
      </c>
      <c r="C7952" s="14" t="s">
        <v>14985</v>
      </c>
      <c r="D7952" s="14">
        <v>1</v>
      </c>
      <c r="E7952" s="17">
        <v>374950.9</v>
      </c>
      <c r="F7952" s="16" t="s">
        <v>8</v>
      </c>
      <c r="G7952" s="14"/>
    </row>
    <row r="7953" spans="2:7" ht="11.25" outlineLevel="4" x14ac:dyDescent="0.2">
      <c r="B7953" s="14" t="s">
        <v>14986</v>
      </c>
      <c r="C7953" s="14" t="s">
        <v>14987</v>
      </c>
      <c r="D7953" s="14">
        <v>1</v>
      </c>
      <c r="E7953" s="17">
        <v>155448.4</v>
      </c>
      <c r="F7953" s="16" t="s">
        <v>8</v>
      </c>
      <c r="G7953" s="14"/>
    </row>
    <row r="7954" spans="2:7" ht="12" outlineLevel="3" x14ac:dyDescent="0.2">
      <c r="B7954" s="10"/>
      <c r="C7954" s="36" t="s">
        <v>14988</v>
      </c>
      <c r="D7954" s="10"/>
      <c r="E7954" s="11"/>
      <c r="F7954" s="11"/>
      <c r="G7954" s="10"/>
    </row>
    <row r="7955" spans="2:7" ht="11.25" outlineLevel="4" x14ac:dyDescent="0.2">
      <c r="B7955" s="14" t="s">
        <v>14989</v>
      </c>
      <c r="C7955" s="14" t="s">
        <v>14990</v>
      </c>
      <c r="D7955" s="14">
        <v>1</v>
      </c>
      <c r="E7955" s="15">
        <v>80.47</v>
      </c>
      <c r="F7955" s="16" t="s">
        <v>8</v>
      </c>
      <c r="G7955" s="38" t="str">
        <f>HYPERLINK("http://enext.ua/H28005000")</f>
        <v>http://enext.ua/H28005000</v>
      </c>
    </row>
    <row r="7956" spans="2:7" ht="11.25" outlineLevel="4" x14ac:dyDescent="0.2">
      <c r="B7956" s="14" t="s">
        <v>14991</v>
      </c>
      <c r="C7956" s="14" t="s">
        <v>14992</v>
      </c>
      <c r="D7956" s="14">
        <v>1</v>
      </c>
      <c r="E7956" s="15">
        <v>80.47</v>
      </c>
      <c r="F7956" s="16" t="s">
        <v>8</v>
      </c>
      <c r="G7956" s="38" t="str">
        <f>HYPERLINK("http://enext.ua/H28007500")</f>
        <v>http://enext.ua/H28007500</v>
      </c>
    </row>
    <row r="7957" spans="2:7" ht="11.25" outlineLevel="4" x14ac:dyDescent="0.2">
      <c r="B7957" s="14" t="s">
        <v>14993</v>
      </c>
      <c r="C7957" s="14" t="s">
        <v>14994</v>
      </c>
      <c r="D7957" s="14">
        <v>1</v>
      </c>
      <c r="E7957" s="15">
        <v>249.11</v>
      </c>
      <c r="F7957" s="16" t="s">
        <v>8</v>
      </c>
      <c r="G7957" s="38" t="str">
        <f>HYPERLINK("http://enext.ua/H19085601")</f>
        <v>http://enext.ua/H19085601</v>
      </c>
    </row>
    <row r="7958" spans="2:7" ht="22.5" outlineLevel="4" x14ac:dyDescent="0.2">
      <c r="B7958" s="14" t="s">
        <v>14995</v>
      </c>
      <c r="C7958" s="14" t="s">
        <v>14996</v>
      </c>
      <c r="D7958" s="14">
        <v>1</v>
      </c>
      <c r="E7958" s="15">
        <v>285.72000000000003</v>
      </c>
      <c r="F7958" s="16" t="s">
        <v>8</v>
      </c>
      <c r="G7958" s="38" t="str">
        <f>HYPERLINK("http://enext.ua/H19110601")</f>
        <v>http://enext.ua/H19110601</v>
      </c>
    </row>
    <row r="7959" spans="2:7" ht="11.25" outlineLevel="4" x14ac:dyDescent="0.2">
      <c r="B7959" s="14" t="s">
        <v>14997</v>
      </c>
      <c r="C7959" s="14" t="s">
        <v>14998</v>
      </c>
      <c r="D7959" s="14">
        <v>1</v>
      </c>
      <c r="E7959" s="15">
        <v>40.47</v>
      </c>
      <c r="F7959" s="16" t="s">
        <v>8</v>
      </c>
      <c r="G7959" s="38" t="str">
        <f>HYPERLINK("http://enext.ua/J30010200")</f>
        <v>http://enext.ua/J30010200</v>
      </c>
    </row>
    <row r="7960" spans="2:7" ht="12" outlineLevel="3" x14ac:dyDescent="0.2">
      <c r="B7960" s="10"/>
      <c r="C7960" s="36" t="s">
        <v>14999</v>
      </c>
      <c r="D7960" s="10"/>
      <c r="E7960" s="11"/>
      <c r="F7960" s="11"/>
      <c r="G7960" s="10"/>
    </row>
    <row r="7961" spans="2:7" ht="11.25" outlineLevel="4" x14ac:dyDescent="0.2">
      <c r="B7961" s="14" t="s">
        <v>15000</v>
      </c>
      <c r="C7961" s="14" t="s">
        <v>15001</v>
      </c>
      <c r="D7961" s="14">
        <v>1</v>
      </c>
      <c r="E7961" s="17">
        <v>23267.59</v>
      </c>
      <c r="F7961" s="16" t="s">
        <v>8</v>
      </c>
      <c r="G7961" s="14"/>
    </row>
    <row r="7962" spans="2:7" ht="11.25" outlineLevel="4" x14ac:dyDescent="0.2">
      <c r="B7962" s="14" t="s">
        <v>15002</v>
      </c>
      <c r="C7962" s="14" t="s">
        <v>15003</v>
      </c>
      <c r="D7962" s="14">
        <v>1</v>
      </c>
      <c r="E7962" s="17">
        <v>25483.98</v>
      </c>
      <c r="F7962" s="16" t="s">
        <v>8</v>
      </c>
      <c r="G7962" s="14"/>
    </row>
    <row r="7963" spans="2:7" ht="11.25" outlineLevel="4" x14ac:dyDescent="0.2">
      <c r="B7963" s="14" t="s">
        <v>15004</v>
      </c>
      <c r="C7963" s="14" t="s">
        <v>15005</v>
      </c>
      <c r="D7963" s="14">
        <v>1</v>
      </c>
      <c r="E7963" s="17">
        <v>25978.43</v>
      </c>
      <c r="F7963" s="16" t="s">
        <v>8</v>
      </c>
      <c r="G7963" s="14"/>
    </row>
    <row r="7964" spans="2:7" ht="11.25" outlineLevel="4" x14ac:dyDescent="0.2">
      <c r="B7964" s="14" t="s">
        <v>15006</v>
      </c>
      <c r="C7964" s="14" t="s">
        <v>15007</v>
      </c>
      <c r="D7964" s="14">
        <v>1</v>
      </c>
      <c r="E7964" s="17">
        <v>29989.200000000001</v>
      </c>
      <c r="F7964" s="16" t="s">
        <v>8</v>
      </c>
      <c r="G7964" s="14"/>
    </row>
    <row r="7965" spans="2:7" ht="11.25" outlineLevel="4" x14ac:dyDescent="0.2">
      <c r="B7965" s="14" t="s">
        <v>15008</v>
      </c>
      <c r="C7965" s="14" t="s">
        <v>15009</v>
      </c>
      <c r="D7965" s="14">
        <v>1</v>
      </c>
      <c r="E7965" s="17">
        <v>28999.58</v>
      </c>
      <c r="F7965" s="16" t="s">
        <v>8</v>
      </c>
      <c r="G7965" s="14"/>
    </row>
    <row r="7966" spans="2:7" ht="11.25" outlineLevel="4" x14ac:dyDescent="0.2">
      <c r="B7966" s="14" t="s">
        <v>15010</v>
      </c>
      <c r="C7966" s="14" t="s">
        <v>15011</v>
      </c>
      <c r="D7966" s="14">
        <v>1</v>
      </c>
      <c r="E7966" s="17">
        <v>30049.13</v>
      </c>
      <c r="F7966" s="16" t="s">
        <v>8</v>
      </c>
      <c r="G7966" s="14"/>
    </row>
    <row r="7967" spans="2:7" ht="11.25" outlineLevel="4" x14ac:dyDescent="0.2">
      <c r="B7967" s="14" t="s">
        <v>15012</v>
      </c>
      <c r="C7967" s="14" t="s">
        <v>15013</v>
      </c>
      <c r="D7967" s="14">
        <v>1</v>
      </c>
      <c r="E7967" s="17">
        <v>31606.3</v>
      </c>
      <c r="F7967" s="16" t="s">
        <v>8</v>
      </c>
      <c r="G7967" s="14"/>
    </row>
    <row r="7968" spans="2:7" ht="11.25" outlineLevel="4" x14ac:dyDescent="0.2">
      <c r="B7968" s="14" t="s">
        <v>15014</v>
      </c>
      <c r="C7968" s="14" t="s">
        <v>15015</v>
      </c>
      <c r="D7968" s="14">
        <v>1</v>
      </c>
      <c r="E7968" s="17">
        <v>36507.4</v>
      </c>
      <c r="F7968" s="16" t="s">
        <v>8</v>
      </c>
      <c r="G7968" s="14"/>
    </row>
    <row r="7969" spans="2:7" ht="11.25" outlineLevel="4" x14ac:dyDescent="0.2">
      <c r="B7969" s="14" t="s">
        <v>15016</v>
      </c>
      <c r="C7969" s="14" t="s">
        <v>15017</v>
      </c>
      <c r="D7969" s="14">
        <v>1</v>
      </c>
      <c r="E7969" s="17">
        <v>38599.1</v>
      </c>
      <c r="F7969" s="16" t="s">
        <v>8</v>
      </c>
      <c r="G7969" s="14"/>
    </row>
    <row r="7970" spans="2:7" ht="11.25" outlineLevel="4" x14ac:dyDescent="0.2">
      <c r="B7970" s="14" t="s">
        <v>15018</v>
      </c>
      <c r="C7970" s="14" t="s">
        <v>15019</v>
      </c>
      <c r="D7970" s="14">
        <v>1</v>
      </c>
      <c r="E7970" s="17">
        <v>36955.81</v>
      </c>
      <c r="F7970" s="16" t="s">
        <v>8</v>
      </c>
      <c r="G7970" s="14"/>
    </row>
    <row r="7971" spans="2:7" ht="11.25" outlineLevel="4" x14ac:dyDescent="0.2">
      <c r="B7971" s="14" t="s">
        <v>15020</v>
      </c>
      <c r="C7971" s="14" t="s">
        <v>15021</v>
      </c>
      <c r="D7971" s="14">
        <v>1</v>
      </c>
      <c r="E7971" s="17">
        <v>40707.760000000002</v>
      </c>
      <c r="F7971" s="16" t="s">
        <v>8</v>
      </c>
      <c r="G7971" s="14"/>
    </row>
    <row r="7972" spans="2:7" ht="11.25" outlineLevel="4" x14ac:dyDescent="0.2">
      <c r="B7972" s="14" t="s">
        <v>15022</v>
      </c>
      <c r="C7972" s="14" t="s">
        <v>15023</v>
      </c>
      <c r="D7972" s="14">
        <v>1</v>
      </c>
      <c r="E7972" s="17">
        <v>38001.449999999997</v>
      </c>
      <c r="F7972" s="16" t="s">
        <v>8</v>
      </c>
      <c r="G7972" s="14"/>
    </row>
    <row r="7973" spans="2:7" ht="11.25" outlineLevel="4" x14ac:dyDescent="0.2">
      <c r="B7973" s="14" t="s">
        <v>15024</v>
      </c>
      <c r="C7973" s="14" t="s">
        <v>15025</v>
      </c>
      <c r="D7973" s="14">
        <v>1</v>
      </c>
      <c r="E7973" s="17">
        <v>41982.52</v>
      </c>
      <c r="F7973" s="16" t="s">
        <v>8</v>
      </c>
      <c r="G7973" s="14"/>
    </row>
    <row r="7974" spans="2:7" ht="11.25" outlineLevel="4" x14ac:dyDescent="0.2">
      <c r="B7974" s="14" t="s">
        <v>15026</v>
      </c>
      <c r="C7974" s="14" t="s">
        <v>15027</v>
      </c>
      <c r="D7974" s="14">
        <v>1</v>
      </c>
      <c r="E7974" s="17">
        <v>47833.49</v>
      </c>
      <c r="F7974" s="16" t="s">
        <v>8</v>
      </c>
      <c r="G7974" s="14"/>
    </row>
    <row r="7975" spans="2:7" ht="11.25" outlineLevel="4" x14ac:dyDescent="0.2">
      <c r="B7975" s="14" t="s">
        <v>15028</v>
      </c>
      <c r="C7975" s="14" t="s">
        <v>15029</v>
      </c>
      <c r="D7975" s="14">
        <v>1</v>
      </c>
      <c r="E7975" s="17">
        <v>45146.14</v>
      </c>
      <c r="F7975" s="16" t="s">
        <v>8</v>
      </c>
      <c r="G7975" s="14"/>
    </row>
    <row r="7976" spans="2:7" ht="11.25" outlineLevel="4" x14ac:dyDescent="0.2">
      <c r="B7976" s="14" t="s">
        <v>15030</v>
      </c>
      <c r="C7976" s="14" t="s">
        <v>15031</v>
      </c>
      <c r="D7976" s="14">
        <v>1</v>
      </c>
      <c r="E7976" s="17">
        <v>45111.68</v>
      </c>
      <c r="F7976" s="16" t="s">
        <v>8</v>
      </c>
      <c r="G7976" s="14"/>
    </row>
    <row r="7977" spans="2:7" ht="11.25" outlineLevel="4" x14ac:dyDescent="0.2">
      <c r="B7977" s="14" t="s">
        <v>15032</v>
      </c>
      <c r="C7977" s="14" t="s">
        <v>15033</v>
      </c>
      <c r="D7977" s="14">
        <v>1</v>
      </c>
      <c r="E7977" s="17">
        <v>52503.519999999997</v>
      </c>
      <c r="F7977" s="16" t="s">
        <v>8</v>
      </c>
      <c r="G7977" s="14"/>
    </row>
    <row r="7978" spans="2:7" ht="11.25" outlineLevel="4" x14ac:dyDescent="0.2">
      <c r="B7978" s="14" t="s">
        <v>15034</v>
      </c>
      <c r="C7978" s="14" t="s">
        <v>15035</v>
      </c>
      <c r="D7978" s="14">
        <v>1</v>
      </c>
      <c r="E7978" s="17">
        <v>56747.97</v>
      </c>
      <c r="F7978" s="16" t="s">
        <v>8</v>
      </c>
      <c r="G7978" s="14"/>
    </row>
    <row r="7979" spans="2:7" ht="11.25" outlineLevel="4" x14ac:dyDescent="0.2">
      <c r="B7979" s="14" t="s">
        <v>15036</v>
      </c>
      <c r="C7979" s="14" t="s">
        <v>15037</v>
      </c>
      <c r="D7979" s="14">
        <v>1</v>
      </c>
      <c r="E7979" s="17">
        <v>56799.7</v>
      </c>
      <c r="F7979" s="16" t="s">
        <v>8</v>
      </c>
      <c r="G7979" s="14"/>
    </row>
    <row r="7980" spans="2:7" ht="11.25" outlineLevel="4" x14ac:dyDescent="0.2">
      <c r="B7980" s="14" t="s">
        <v>15038</v>
      </c>
      <c r="C7980" s="14" t="s">
        <v>15039</v>
      </c>
      <c r="D7980" s="14">
        <v>1</v>
      </c>
      <c r="E7980" s="17">
        <v>66644.179999999993</v>
      </c>
      <c r="F7980" s="16" t="s">
        <v>8</v>
      </c>
      <c r="G7980" s="14"/>
    </row>
    <row r="7981" spans="2:7" ht="11.25" outlineLevel="4" x14ac:dyDescent="0.2">
      <c r="B7981" s="14" t="s">
        <v>15040</v>
      </c>
      <c r="C7981" s="14" t="s">
        <v>15041</v>
      </c>
      <c r="D7981" s="14">
        <v>1</v>
      </c>
      <c r="E7981" s="17">
        <v>60485.71</v>
      </c>
      <c r="F7981" s="16" t="s">
        <v>8</v>
      </c>
      <c r="G7981" s="14"/>
    </row>
    <row r="7982" spans="2:7" ht="11.25" outlineLevel="4" x14ac:dyDescent="0.2">
      <c r="B7982" s="14" t="s">
        <v>15042</v>
      </c>
      <c r="C7982" s="14" t="s">
        <v>15043</v>
      </c>
      <c r="D7982" s="14">
        <v>1</v>
      </c>
      <c r="E7982" s="17">
        <v>76377.289999999994</v>
      </c>
      <c r="F7982" s="16" t="s">
        <v>8</v>
      </c>
      <c r="G7982" s="14"/>
    </row>
    <row r="7983" spans="2:7" ht="11.25" outlineLevel="4" x14ac:dyDescent="0.2">
      <c r="B7983" s="14" t="s">
        <v>15044</v>
      </c>
      <c r="C7983" s="14" t="s">
        <v>15045</v>
      </c>
      <c r="D7983" s="14">
        <v>1</v>
      </c>
      <c r="E7983" s="17">
        <v>74973.27</v>
      </c>
      <c r="F7983" s="16" t="s">
        <v>8</v>
      </c>
      <c r="G7983" s="14"/>
    </row>
    <row r="7984" spans="2:7" ht="11.25" outlineLevel="4" x14ac:dyDescent="0.2">
      <c r="B7984" s="14" t="s">
        <v>15046</v>
      </c>
      <c r="C7984" s="14" t="s">
        <v>15047</v>
      </c>
      <c r="D7984" s="14">
        <v>1</v>
      </c>
      <c r="E7984" s="17">
        <v>77766.759999999995</v>
      </c>
      <c r="F7984" s="16" t="s">
        <v>8</v>
      </c>
      <c r="G7984" s="14"/>
    </row>
    <row r="7985" spans="2:7" ht="11.25" outlineLevel="4" x14ac:dyDescent="0.2">
      <c r="B7985" s="14" t="s">
        <v>15048</v>
      </c>
      <c r="C7985" s="14" t="s">
        <v>15049</v>
      </c>
      <c r="D7985" s="14">
        <v>1</v>
      </c>
      <c r="E7985" s="17">
        <v>80552.58</v>
      </c>
      <c r="F7985" s="16" t="s">
        <v>8</v>
      </c>
      <c r="G7985" s="14"/>
    </row>
    <row r="7986" spans="2:7" ht="11.25" outlineLevel="4" x14ac:dyDescent="0.2">
      <c r="B7986" s="14" t="s">
        <v>15050</v>
      </c>
      <c r="C7986" s="14" t="s">
        <v>15051</v>
      </c>
      <c r="D7986" s="14">
        <v>1</v>
      </c>
      <c r="E7986" s="17">
        <v>87008.7</v>
      </c>
      <c r="F7986" s="16" t="s">
        <v>8</v>
      </c>
      <c r="G7986" s="14"/>
    </row>
    <row r="7987" spans="2:7" ht="11.25" outlineLevel="4" x14ac:dyDescent="0.2">
      <c r="B7987" s="14" t="s">
        <v>15052</v>
      </c>
      <c r="C7987" s="14" t="s">
        <v>15053</v>
      </c>
      <c r="D7987" s="14">
        <v>1</v>
      </c>
      <c r="E7987" s="17">
        <v>86549.54</v>
      </c>
      <c r="F7987" s="16" t="s">
        <v>8</v>
      </c>
      <c r="G7987" s="14"/>
    </row>
    <row r="7988" spans="2:7" ht="11.25" outlineLevel="4" x14ac:dyDescent="0.2">
      <c r="B7988" s="14" t="s">
        <v>15054</v>
      </c>
      <c r="C7988" s="14" t="s">
        <v>15055</v>
      </c>
      <c r="D7988" s="14">
        <v>1</v>
      </c>
      <c r="E7988" s="17">
        <v>100915.2</v>
      </c>
      <c r="F7988" s="16" t="s">
        <v>8</v>
      </c>
      <c r="G7988" s="14"/>
    </row>
    <row r="7989" spans="2:7" ht="11.25" outlineLevel="4" x14ac:dyDescent="0.2">
      <c r="B7989" s="14" t="s">
        <v>15056</v>
      </c>
      <c r="C7989" s="14" t="s">
        <v>15057</v>
      </c>
      <c r="D7989" s="14">
        <v>1</v>
      </c>
      <c r="E7989" s="17">
        <v>95797.72</v>
      </c>
      <c r="F7989" s="16" t="s">
        <v>8</v>
      </c>
      <c r="G7989" s="14"/>
    </row>
    <row r="7990" spans="2:7" ht="11.25" outlineLevel="4" x14ac:dyDescent="0.2">
      <c r="B7990" s="14" t="s">
        <v>15058</v>
      </c>
      <c r="C7990" s="14" t="s">
        <v>15059</v>
      </c>
      <c r="D7990" s="14">
        <v>1</v>
      </c>
      <c r="E7990" s="17">
        <v>107059.9</v>
      </c>
      <c r="F7990" s="16" t="s">
        <v>8</v>
      </c>
      <c r="G7990" s="14"/>
    </row>
    <row r="7991" spans="2:7" ht="11.25" outlineLevel="4" x14ac:dyDescent="0.2">
      <c r="B7991" s="14" t="s">
        <v>15060</v>
      </c>
      <c r="C7991" s="14" t="s">
        <v>15061</v>
      </c>
      <c r="D7991" s="14">
        <v>1</v>
      </c>
      <c r="E7991" s="17">
        <v>113421.1</v>
      </c>
      <c r="F7991" s="16" t="s">
        <v>8</v>
      </c>
      <c r="G7991" s="14"/>
    </row>
    <row r="7992" spans="2:7" ht="11.25" outlineLevel="4" x14ac:dyDescent="0.2">
      <c r="B7992" s="14" t="s">
        <v>15062</v>
      </c>
      <c r="C7992" s="14" t="s">
        <v>15063</v>
      </c>
      <c r="D7992" s="14">
        <v>1</v>
      </c>
      <c r="E7992" s="17">
        <v>163149.1</v>
      </c>
      <c r="F7992" s="16" t="s">
        <v>8</v>
      </c>
      <c r="G7992" s="14"/>
    </row>
    <row r="7993" spans="2:7" ht="11.25" outlineLevel="4" x14ac:dyDescent="0.2">
      <c r="B7993" s="14" t="s">
        <v>15064</v>
      </c>
      <c r="C7993" s="14" t="s">
        <v>15065</v>
      </c>
      <c r="D7993" s="14">
        <v>1</v>
      </c>
      <c r="E7993" s="17">
        <v>177151.1</v>
      </c>
      <c r="F7993" s="16" t="s">
        <v>8</v>
      </c>
      <c r="G7993" s="14"/>
    </row>
    <row r="7994" spans="2:7" ht="11.25" outlineLevel="4" x14ac:dyDescent="0.2">
      <c r="B7994" s="14" t="s">
        <v>15066</v>
      </c>
      <c r="C7994" s="14" t="s">
        <v>15067</v>
      </c>
      <c r="D7994" s="14">
        <v>1</v>
      </c>
      <c r="E7994" s="17">
        <v>204706.2</v>
      </c>
      <c r="F7994" s="16" t="s">
        <v>8</v>
      </c>
      <c r="G7994" s="14"/>
    </row>
    <row r="7995" spans="2:7" ht="11.25" outlineLevel="4" x14ac:dyDescent="0.2">
      <c r="B7995" s="14" t="s">
        <v>15068</v>
      </c>
      <c r="C7995" s="14" t="s">
        <v>15069</v>
      </c>
      <c r="D7995" s="14">
        <v>1</v>
      </c>
      <c r="E7995" s="17">
        <v>245152.1</v>
      </c>
      <c r="F7995" s="16" t="s">
        <v>8</v>
      </c>
      <c r="G7995" s="14"/>
    </row>
    <row r="7996" spans="2:7" ht="11.25" outlineLevel="4" x14ac:dyDescent="0.2">
      <c r="B7996" s="14" t="s">
        <v>15070</v>
      </c>
      <c r="C7996" s="14" t="s">
        <v>15071</v>
      </c>
      <c r="D7996" s="14">
        <v>1</v>
      </c>
      <c r="E7996" s="17">
        <v>268687.8</v>
      </c>
      <c r="F7996" s="16" t="s">
        <v>8</v>
      </c>
      <c r="G7996" s="14"/>
    </row>
    <row r="7997" spans="2:7" ht="12" outlineLevel="2" x14ac:dyDescent="0.2">
      <c r="B7997" s="8"/>
      <c r="C7997" s="35" t="s">
        <v>15072</v>
      </c>
      <c r="D7997" s="8"/>
      <c r="E7997" s="9"/>
      <c r="F7997" s="9"/>
      <c r="G7997" s="8"/>
    </row>
    <row r="7998" spans="2:7" ht="11.25" outlineLevel="3" x14ac:dyDescent="0.2">
      <c r="B7998" s="14" t="s">
        <v>15073</v>
      </c>
      <c r="C7998" s="14" t="s">
        <v>15074</v>
      </c>
      <c r="D7998" s="14">
        <v>1</v>
      </c>
      <c r="E7998" s="17">
        <v>13009.84</v>
      </c>
      <c r="F7998" s="16" t="s">
        <v>8</v>
      </c>
      <c r="G7998" s="38" t="str">
        <f>HYPERLINK("http://enext.ua/MCAP04230")</f>
        <v>http://enext.ua/MCAP04230</v>
      </c>
    </row>
    <row r="7999" spans="2:7" ht="11.25" outlineLevel="3" x14ac:dyDescent="0.2">
      <c r="B7999" s="14" t="s">
        <v>15075</v>
      </c>
      <c r="C7999" s="14" t="s">
        <v>15076</v>
      </c>
      <c r="D7999" s="14">
        <v>1</v>
      </c>
      <c r="E7999" s="17">
        <v>8963.93</v>
      </c>
      <c r="F7999" s="16" t="s">
        <v>8</v>
      </c>
      <c r="G7999" s="38" t="str">
        <f>HYPERLINK("http://enext.ua/MCE12ADV400")</f>
        <v>http://enext.ua/MCE12ADV400</v>
      </c>
    </row>
    <row r="8000" spans="2:7" ht="11.25" outlineLevel="3" x14ac:dyDescent="0.2">
      <c r="B8000" s="14" t="s">
        <v>15077</v>
      </c>
      <c r="C8000" s="14" t="s">
        <v>15078</v>
      </c>
      <c r="D8000" s="14">
        <v>1</v>
      </c>
      <c r="E8000" s="17">
        <v>5794.46</v>
      </c>
      <c r="F8000" s="16" t="s">
        <v>8</v>
      </c>
      <c r="G8000" s="38" t="str">
        <f>HYPERLINK("http://enext.ua/MCE06ADV400")</f>
        <v>http://enext.ua/MCE06ADV400</v>
      </c>
    </row>
    <row r="8001" spans="2:7" ht="22.5" outlineLevel="3" x14ac:dyDescent="0.2">
      <c r="B8001" s="14" t="s">
        <v>15079</v>
      </c>
      <c r="C8001" s="14" t="s">
        <v>15080</v>
      </c>
      <c r="D8001" s="14">
        <v>1</v>
      </c>
      <c r="E8001" s="17">
        <v>11882.84</v>
      </c>
      <c r="F8001" s="16" t="s">
        <v>8</v>
      </c>
      <c r="G8001" s="38" t="str">
        <f>HYPERLINK("http://enext.ua/PFCL12400")</f>
        <v>http://enext.ua/PFCL12400</v>
      </c>
    </row>
    <row r="8002" spans="2:7" ht="12" outlineLevel="1" x14ac:dyDescent="0.2">
      <c r="B8002" s="6"/>
      <c r="C8002" s="34" t="s">
        <v>15081</v>
      </c>
      <c r="D8002" s="6"/>
      <c r="E8002" s="7"/>
      <c r="F8002" s="7"/>
      <c r="G8002" s="6"/>
    </row>
    <row r="8003" spans="2:7" ht="12" outlineLevel="2" x14ac:dyDescent="0.2">
      <c r="B8003" s="8"/>
      <c r="C8003" s="35" t="s">
        <v>15082</v>
      </c>
      <c r="D8003" s="8"/>
      <c r="E8003" s="9"/>
      <c r="F8003" s="9"/>
      <c r="G8003" s="8"/>
    </row>
    <row r="8004" spans="2:7" ht="11.25" outlineLevel="3" x14ac:dyDescent="0.2">
      <c r="B8004" s="14" t="s">
        <v>15083</v>
      </c>
      <c r="C8004" s="14" t="s">
        <v>15084</v>
      </c>
      <c r="D8004" s="14">
        <v>1</v>
      </c>
      <c r="E8004" s="17">
        <v>12797.73</v>
      </c>
      <c r="F8004" s="16" t="s">
        <v>8</v>
      </c>
      <c r="G8004" s="14"/>
    </row>
    <row r="8005" spans="2:7" ht="12" outlineLevel="2" x14ac:dyDescent="0.2">
      <c r="B8005" s="8"/>
      <c r="C8005" s="35" t="s">
        <v>15085</v>
      </c>
      <c r="D8005" s="8"/>
      <c r="E8005" s="9"/>
      <c r="F8005" s="9"/>
      <c r="G8005" s="8"/>
    </row>
    <row r="8006" spans="2:7" ht="22.5" outlineLevel="3" x14ac:dyDescent="0.2">
      <c r="B8006" s="14" t="s">
        <v>15086</v>
      </c>
      <c r="C8006" s="14" t="s">
        <v>15087</v>
      </c>
      <c r="D8006" s="14">
        <v>1</v>
      </c>
      <c r="E8006" s="17">
        <v>33854.550000000003</v>
      </c>
      <c r="F8006" s="16" t="s">
        <v>8</v>
      </c>
      <c r="G8006" s="14"/>
    </row>
    <row r="8007" spans="2:7" ht="22.5" outlineLevel="3" x14ac:dyDescent="0.2">
      <c r="B8007" s="14" t="s">
        <v>15088</v>
      </c>
      <c r="C8007" s="14" t="s">
        <v>15089</v>
      </c>
      <c r="D8007" s="14">
        <v>1</v>
      </c>
      <c r="E8007" s="17">
        <v>194512.6</v>
      </c>
      <c r="F8007" s="16" t="s">
        <v>8</v>
      </c>
      <c r="G8007" s="14"/>
    </row>
    <row r="8008" spans="2:7" ht="33.75" outlineLevel="3" x14ac:dyDescent="0.2">
      <c r="B8008" s="14" t="s">
        <v>15090</v>
      </c>
      <c r="C8008" s="14" t="s">
        <v>15091</v>
      </c>
      <c r="D8008" s="14">
        <v>1</v>
      </c>
      <c r="E8008" s="17">
        <v>239259.7</v>
      </c>
      <c r="F8008" s="16" t="s">
        <v>8</v>
      </c>
      <c r="G8008" s="14"/>
    </row>
    <row r="8009" spans="2:7" ht="33.75" outlineLevel="3" x14ac:dyDescent="0.2">
      <c r="B8009" s="14" t="s">
        <v>15092</v>
      </c>
      <c r="C8009" s="14" t="s">
        <v>15093</v>
      </c>
      <c r="D8009" s="14">
        <v>1</v>
      </c>
      <c r="E8009" s="17">
        <v>263459.59999999998</v>
      </c>
      <c r="F8009" s="16" t="s">
        <v>8</v>
      </c>
      <c r="G8009" s="14"/>
    </row>
    <row r="8010" spans="2:7" ht="12" x14ac:dyDescent="0.2">
      <c r="B8010" s="4"/>
      <c r="C8010" s="40" t="s">
        <v>15094</v>
      </c>
      <c r="D8010" s="4"/>
      <c r="E8010" s="5"/>
      <c r="F8010" s="5"/>
      <c r="G8010" s="4"/>
    </row>
    <row r="8011" spans="2:7" ht="12" outlineLevel="1" x14ac:dyDescent="0.2">
      <c r="B8011" s="6"/>
      <c r="C8011" s="34" t="s">
        <v>15095</v>
      </c>
      <c r="D8011" s="6"/>
      <c r="E8011" s="7"/>
      <c r="F8011" s="7"/>
      <c r="G8011" s="6"/>
    </row>
    <row r="8012" spans="2:7" ht="11.25" outlineLevel="2" x14ac:dyDescent="0.2">
      <c r="B8012" s="14" t="s">
        <v>15096</v>
      </c>
      <c r="C8012" s="14" t="s">
        <v>15097</v>
      </c>
      <c r="D8012" s="14">
        <v>1</v>
      </c>
      <c r="E8012" s="17">
        <v>2853.2</v>
      </c>
      <c r="F8012" s="16" t="s">
        <v>15098</v>
      </c>
      <c r="G8012" s="14"/>
    </row>
    <row r="8013" spans="2:7" ht="11.25" outlineLevel="2" x14ac:dyDescent="0.2">
      <c r="B8013" s="14" t="s">
        <v>15099</v>
      </c>
      <c r="C8013" s="14" t="s">
        <v>15100</v>
      </c>
      <c r="D8013" s="14">
        <v>1</v>
      </c>
      <c r="E8013" s="17">
        <v>2768.36</v>
      </c>
      <c r="F8013" s="16" t="s">
        <v>15098</v>
      </c>
      <c r="G8013" s="14"/>
    </row>
    <row r="8014" spans="2:7" ht="11.25" outlineLevel="2" x14ac:dyDescent="0.2">
      <c r="B8014" s="14" t="s">
        <v>15101</v>
      </c>
      <c r="C8014" s="14" t="s">
        <v>15102</v>
      </c>
      <c r="D8014" s="14">
        <v>1</v>
      </c>
      <c r="E8014" s="17">
        <v>4369.96</v>
      </c>
      <c r="F8014" s="16" t="s">
        <v>15098</v>
      </c>
      <c r="G8014" s="14"/>
    </row>
    <row r="8015" spans="2:7" ht="11.25" outlineLevel="2" x14ac:dyDescent="0.2">
      <c r="B8015" s="14" t="s">
        <v>15103</v>
      </c>
      <c r="C8015" s="14" t="s">
        <v>15102</v>
      </c>
      <c r="D8015" s="14">
        <v>1</v>
      </c>
      <c r="E8015" s="17">
        <v>4213</v>
      </c>
      <c r="F8015" s="16" t="s">
        <v>4507</v>
      </c>
      <c r="G8015" s="38" t="str">
        <f>HYPERLINK("http://enext.ua/an000001")</f>
        <v>http://enext.ua/an000001</v>
      </c>
    </row>
    <row r="8016" spans="2:7" ht="11.25" outlineLevel="2" x14ac:dyDescent="0.2">
      <c r="B8016" s="14" t="s">
        <v>15104</v>
      </c>
      <c r="C8016" s="14" t="s">
        <v>15105</v>
      </c>
      <c r="D8016" s="14">
        <v>1</v>
      </c>
      <c r="E8016" s="17">
        <v>4474.58</v>
      </c>
      <c r="F8016" s="16" t="s">
        <v>4507</v>
      </c>
      <c r="G8016" s="38" t="str">
        <f>HYPERLINK("http://enext.ua/an000026")</f>
        <v>http://enext.ua/an000026</v>
      </c>
    </row>
    <row r="8017" spans="2:7" ht="11.25" outlineLevel="2" x14ac:dyDescent="0.2">
      <c r="B8017" s="14" t="s">
        <v>15106</v>
      </c>
      <c r="C8017" s="14" t="s">
        <v>15107</v>
      </c>
      <c r="D8017" s="14">
        <v>1</v>
      </c>
      <c r="E8017" s="17">
        <v>4957.3999999999996</v>
      </c>
      <c r="F8017" s="16" t="s">
        <v>4507</v>
      </c>
      <c r="G8017" s="38" t="str">
        <f>HYPERLINK("http://enext.ua/an000027")</f>
        <v>http://enext.ua/an000027</v>
      </c>
    </row>
    <row r="8018" spans="2:7" ht="11.25" outlineLevel="2" x14ac:dyDescent="0.2">
      <c r="B8018" s="14" t="s">
        <v>15108</v>
      </c>
      <c r="C8018" s="14" t="s">
        <v>15109</v>
      </c>
      <c r="D8018" s="14">
        <v>1</v>
      </c>
      <c r="E8018" s="17">
        <v>7184.8</v>
      </c>
      <c r="F8018" s="16" t="s">
        <v>4507</v>
      </c>
      <c r="G8018" s="38" t="str">
        <f>HYPERLINK("http://enext.ua/an000021")</f>
        <v>http://enext.ua/an000021</v>
      </c>
    </row>
    <row r="8019" spans="2:7" ht="11.25" outlineLevel="2" x14ac:dyDescent="0.2">
      <c r="B8019" s="14" t="s">
        <v>15110</v>
      </c>
      <c r="C8019" s="14" t="s">
        <v>15111</v>
      </c>
      <c r="D8019" s="14">
        <v>1</v>
      </c>
      <c r="E8019" s="17">
        <v>8831.2000000000007</v>
      </c>
      <c r="F8019" s="16" t="s">
        <v>4507</v>
      </c>
      <c r="G8019" s="38" t="str">
        <f>HYPERLINK("http://enext.ua/an000024")</f>
        <v>http://enext.ua/an000024</v>
      </c>
    </row>
    <row r="8020" spans="2:7" ht="11.25" outlineLevel="2" x14ac:dyDescent="0.2">
      <c r="B8020" s="14" t="s">
        <v>15112</v>
      </c>
      <c r="C8020" s="14" t="s">
        <v>15113</v>
      </c>
      <c r="D8020" s="14">
        <v>1</v>
      </c>
      <c r="E8020" s="17">
        <v>9283.68</v>
      </c>
      <c r="F8020" s="16" t="s">
        <v>4507</v>
      </c>
      <c r="G8020" s="38" t="str">
        <f>HYPERLINK("http://enext.ua/an000025")</f>
        <v>http://enext.ua/an000025</v>
      </c>
    </row>
    <row r="8021" spans="2:7" ht="11.25" outlineLevel="2" x14ac:dyDescent="0.2">
      <c r="B8021" s="14" t="s">
        <v>15114</v>
      </c>
      <c r="C8021" s="14" t="s">
        <v>15115</v>
      </c>
      <c r="D8021" s="14">
        <v>1</v>
      </c>
      <c r="E8021" s="17">
        <v>3953.6</v>
      </c>
      <c r="F8021" s="16" t="s">
        <v>15098</v>
      </c>
      <c r="G8021" s="14"/>
    </row>
    <row r="8022" spans="2:7" ht="11.25" outlineLevel="2" x14ac:dyDescent="0.2">
      <c r="B8022" s="14" t="s">
        <v>15116</v>
      </c>
      <c r="C8022" s="14" t="s">
        <v>15117</v>
      </c>
      <c r="D8022" s="14">
        <v>1</v>
      </c>
      <c r="E8022" s="17">
        <v>3909.36</v>
      </c>
      <c r="F8022" s="16" t="s">
        <v>4507</v>
      </c>
      <c r="G8022" s="38" t="str">
        <f>HYPERLINK("http://enext.ua/an000028")</f>
        <v>http://enext.ua/an000028</v>
      </c>
    </row>
    <row r="8023" spans="2:7" ht="12" outlineLevel="1" x14ac:dyDescent="0.2">
      <c r="B8023" s="6"/>
      <c r="C8023" s="34" t="s">
        <v>15118</v>
      </c>
      <c r="D8023" s="6"/>
      <c r="E8023" s="7"/>
      <c r="F8023" s="7"/>
      <c r="G8023" s="6"/>
    </row>
    <row r="8024" spans="2:7" ht="11.25" outlineLevel="2" x14ac:dyDescent="0.2">
      <c r="B8024" s="14" t="s">
        <v>15119</v>
      </c>
      <c r="C8024" s="14" t="s">
        <v>15120</v>
      </c>
      <c r="D8024" s="14">
        <v>1</v>
      </c>
      <c r="E8024" s="15">
        <v>698.18</v>
      </c>
      <c r="F8024" s="16" t="s">
        <v>4507</v>
      </c>
      <c r="G8024" s="38" t="str">
        <f>HYPERLINK("http://enext.ua/bmd002002")</f>
        <v>http://enext.ua/bmd002002</v>
      </c>
    </row>
    <row r="8025" spans="2:7" ht="11.25" outlineLevel="2" x14ac:dyDescent="0.2">
      <c r="B8025" s="14" t="s">
        <v>15121</v>
      </c>
      <c r="C8025" s="14" t="s">
        <v>15122</v>
      </c>
      <c r="D8025" s="14">
        <v>1</v>
      </c>
      <c r="E8025" s="15">
        <v>909.09</v>
      </c>
      <c r="F8025" s="16" t="s">
        <v>4507</v>
      </c>
      <c r="G8025" s="38" t="str">
        <f>HYPERLINK("http://enext.ua/bmd002001")</f>
        <v>http://enext.ua/bmd002001</v>
      </c>
    </row>
    <row r="8026" spans="2:7" ht="11.25" outlineLevel="2" x14ac:dyDescent="0.2">
      <c r="B8026" s="14" t="s">
        <v>15123</v>
      </c>
      <c r="C8026" s="14" t="s">
        <v>15124</v>
      </c>
      <c r="D8026" s="14">
        <v>1</v>
      </c>
      <c r="E8026" s="15">
        <v>610.91</v>
      </c>
      <c r="F8026" s="16" t="s">
        <v>4507</v>
      </c>
      <c r="G8026" s="38" t="str">
        <f>HYPERLINK("http://enext.ua/bmd002003")</f>
        <v>http://enext.ua/bmd002003</v>
      </c>
    </row>
    <row r="8027" spans="2:7" ht="11.25" outlineLevel="2" x14ac:dyDescent="0.2">
      <c r="B8027" s="14" t="s">
        <v>15125</v>
      </c>
      <c r="C8027" s="14" t="s">
        <v>15126</v>
      </c>
      <c r="D8027" s="14">
        <v>1</v>
      </c>
      <c r="E8027" s="15">
        <v>581.82000000000005</v>
      </c>
      <c r="F8027" s="16" t="s">
        <v>4507</v>
      </c>
      <c r="G8027" s="38" t="str">
        <f>HYPERLINK("http://enext.ua/bmd002004")</f>
        <v>http://enext.ua/bmd002004</v>
      </c>
    </row>
    <row r="8028" spans="2:7" ht="11.25" outlineLevel="2" x14ac:dyDescent="0.2">
      <c r="B8028" s="14" t="s">
        <v>15127</v>
      </c>
      <c r="C8028" s="14" t="s">
        <v>15128</v>
      </c>
      <c r="D8028" s="14">
        <v>1</v>
      </c>
      <c r="E8028" s="15">
        <v>24.75</v>
      </c>
      <c r="F8028" s="16" t="s">
        <v>8</v>
      </c>
      <c r="G8028" s="38" t="str">
        <f>HYPERLINK("http://enext.ua/bn0010014")</f>
        <v>http://enext.ua/bn0010014</v>
      </c>
    </row>
    <row r="8029" spans="2:7" ht="11.25" outlineLevel="2" x14ac:dyDescent="0.2">
      <c r="B8029" s="14" t="s">
        <v>15129</v>
      </c>
      <c r="C8029" s="14" t="s">
        <v>15130</v>
      </c>
      <c r="D8029" s="14">
        <v>1</v>
      </c>
      <c r="E8029" s="15">
        <v>269.5</v>
      </c>
      <c r="F8029" s="16" t="s">
        <v>4507</v>
      </c>
      <c r="G8029" s="38" t="str">
        <f>HYPERLINK("http://enext.ua/bn0010015")</f>
        <v>http://enext.ua/bn0010015</v>
      </c>
    </row>
    <row r="8030" spans="2:7" ht="11.25" outlineLevel="2" x14ac:dyDescent="0.2">
      <c r="B8030" s="14" t="s">
        <v>15131</v>
      </c>
      <c r="C8030" s="14" t="s">
        <v>15132</v>
      </c>
      <c r="D8030" s="14">
        <v>1</v>
      </c>
      <c r="E8030" s="15">
        <v>269.5</v>
      </c>
      <c r="F8030" s="16" t="s">
        <v>4507</v>
      </c>
      <c r="G8030" s="38" t="str">
        <f>HYPERLINK("http://enext.ua/bn0010012")</f>
        <v>http://enext.ua/bn0010012</v>
      </c>
    </row>
    <row r="8031" spans="2:7" ht="22.5" outlineLevel="2" x14ac:dyDescent="0.2">
      <c r="B8031" s="14" t="s">
        <v>15133</v>
      </c>
      <c r="C8031" s="14" t="s">
        <v>15134</v>
      </c>
      <c r="D8031" s="14">
        <v>1</v>
      </c>
      <c r="E8031" s="15">
        <v>565.4</v>
      </c>
      <c r="F8031" s="16" t="s">
        <v>4507</v>
      </c>
      <c r="G8031" s="38" t="str">
        <f>HYPERLINK("http://enext.ua/bn0010008")</f>
        <v>http://enext.ua/bn0010008</v>
      </c>
    </row>
    <row r="8032" spans="2:7" ht="22.5" outlineLevel="2" x14ac:dyDescent="0.2">
      <c r="B8032" s="14" t="s">
        <v>15135</v>
      </c>
      <c r="C8032" s="14" t="s">
        <v>15136</v>
      </c>
      <c r="D8032" s="14">
        <v>1</v>
      </c>
      <c r="E8032" s="15">
        <v>745.8</v>
      </c>
      <c r="F8032" s="16" t="s">
        <v>4507</v>
      </c>
      <c r="G8032" s="38" t="str">
        <f>HYPERLINK("http://enext.ua/bn0010007")</f>
        <v>http://enext.ua/bn0010007</v>
      </c>
    </row>
    <row r="8033" spans="2:7" ht="22.5" outlineLevel="2" x14ac:dyDescent="0.2">
      <c r="B8033" s="14" t="s">
        <v>15137</v>
      </c>
      <c r="C8033" s="14" t="s">
        <v>15138</v>
      </c>
      <c r="D8033" s="14">
        <v>1</v>
      </c>
      <c r="E8033" s="17">
        <v>1089.83</v>
      </c>
      <c r="F8033" s="16" t="s">
        <v>4507</v>
      </c>
      <c r="G8033" s="38" t="str">
        <f>HYPERLINK("http://enext.ua/bn0010016")</f>
        <v>http://enext.ua/bn0010016</v>
      </c>
    </row>
    <row r="8034" spans="2:7" ht="22.5" outlineLevel="2" x14ac:dyDescent="0.2">
      <c r="B8034" s="14" t="s">
        <v>15139</v>
      </c>
      <c r="C8034" s="14" t="s">
        <v>15140</v>
      </c>
      <c r="D8034" s="14">
        <v>1</v>
      </c>
      <c r="E8034" s="15">
        <v>673.64</v>
      </c>
      <c r="F8034" s="16" t="s">
        <v>4507</v>
      </c>
      <c r="G8034" s="38" t="str">
        <f>HYPERLINK("http://enext.ua/bn0010018")</f>
        <v>http://enext.ua/bn0010018</v>
      </c>
    </row>
    <row r="8035" spans="2:7" ht="12" outlineLevel="1" x14ac:dyDescent="0.2">
      <c r="B8035" s="6"/>
      <c r="C8035" s="34" t="s">
        <v>6284</v>
      </c>
      <c r="D8035" s="6"/>
      <c r="E8035" s="7"/>
      <c r="F8035" s="7"/>
      <c r="G8035" s="6"/>
    </row>
    <row r="8036" spans="2:7" ht="11.25" outlineLevel="2" x14ac:dyDescent="0.2">
      <c r="B8036" s="14" t="s">
        <v>15141</v>
      </c>
      <c r="C8036" s="14" t="s">
        <v>15142</v>
      </c>
      <c r="D8036" s="14">
        <v>10</v>
      </c>
      <c r="E8036" s="15">
        <v>10.45</v>
      </c>
      <c r="F8036" s="16" t="s">
        <v>8</v>
      </c>
      <c r="G8036" s="14"/>
    </row>
    <row r="8037" spans="2:7" ht="11.25" outlineLevel="2" x14ac:dyDescent="0.2">
      <c r="B8037" s="14" t="s">
        <v>15143</v>
      </c>
      <c r="C8037" s="14" t="s">
        <v>15144</v>
      </c>
      <c r="D8037" s="14">
        <v>10</v>
      </c>
      <c r="E8037" s="15">
        <v>10.45</v>
      </c>
      <c r="F8037" s="16" t="s">
        <v>8</v>
      </c>
      <c r="G8037" s="14"/>
    </row>
    <row r="8038" spans="2:7" ht="11.25" outlineLevel="2" x14ac:dyDescent="0.2">
      <c r="B8038" s="14" t="s">
        <v>15145</v>
      </c>
      <c r="C8038" s="14" t="s">
        <v>15146</v>
      </c>
      <c r="D8038" s="14">
        <v>10</v>
      </c>
      <c r="E8038" s="15">
        <v>10.45</v>
      </c>
      <c r="F8038" s="16" t="s">
        <v>8</v>
      </c>
      <c r="G8038" s="14"/>
    </row>
    <row r="8039" spans="2:7" ht="11.25" outlineLevel="2" x14ac:dyDescent="0.2">
      <c r="B8039" s="14" t="s">
        <v>15147</v>
      </c>
      <c r="C8039" s="14" t="s">
        <v>15148</v>
      </c>
      <c r="D8039" s="14">
        <v>10</v>
      </c>
      <c r="E8039" s="15">
        <v>10.45</v>
      </c>
      <c r="F8039" s="16" t="s">
        <v>8</v>
      </c>
      <c r="G8039" s="14"/>
    </row>
    <row r="8040" spans="2:7" ht="11.25" outlineLevel="2" x14ac:dyDescent="0.2">
      <c r="B8040" s="14" t="s">
        <v>15149</v>
      </c>
      <c r="C8040" s="14" t="s">
        <v>15150</v>
      </c>
      <c r="D8040" s="14">
        <v>10</v>
      </c>
      <c r="E8040" s="15">
        <v>20.05</v>
      </c>
      <c r="F8040" s="16" t="s">
        <v>8</v>
      </c>
      <c r="G8040" s="14"/>
    </row>
    <row r="8041" spans="2:7" ht="11.25" outlineLevel="2" x14ac:dyDescent="0.2">
      <c r="B8041" s="14" t="s">
        <v>15151</v>
      </c>
      <c r="C8041" s="14" t="s">
        <v>15152</v>
      </c>
      <c r="D8041" s="14">
        <v>10</v>
      </c>
      <c r="E8041" s="15">
        <v>20.05</v>
      </c>
      <c r="F8041" s="16" t="s">
        <v>8</v>
      </c>
      <c r="G8041" s="14"/>
    </row>
    <row r="8042" spans="2:7" ht="11.25" outlineLevel="2" x14ac:dyDescent="0.2">
      <c r="B8042" s="14" t="s">
        <v>15153</v>
      </c>
      <c r="C8042" s="14" t="s">
        <v>15154</v>
      </c>
      <c r="D8042" s="14">
        <v>10</v>
      </c>
      <c r="E8042" s="15">
        <v>20.05</v>
      </c>
      <c r="F8042" s="16" t="s">
        <v>8</v>
      </c>
      <c r="G8042" s="14"/>
    </row>
    <row r="8043" spans="2:7" ht="11.25" outlineLevel="2" x14ac:dyDescent="0.2">
      <c r="B8043" s="14" t="s">
        <v>15155</v>
      </c>
      <c r="C8043" s="14" t="s">
        <v>15156</v>
      </c>
      <c r="D8043" s="14">
        <v>10</v>
      </c>
      <c r="E8043" s="15">
        <v>20.05</v>
      </c>
      <c r="F8043" s="16" t="s">
        <v>8</v>
      </c>
      <c r="G8043" s="14"/>
    </row>
    <row r="8044" spans="2:7" ht="11.45" customHeight="1" x14ac:dyDescent="0.2">
      <c r="C8044" s="41"/>
    </row>
    <row r="8045" spans="2:7" ht="11.45" customHeight="1" x14ac:dyDescent="0.2">
      <c r="C8045" s="41"/>
    </row>
    <row r="8046" spans="2:7" ht="11.45" customHeight="1" x14ac:dyDescent="0.2">
      <c r="C8046" s="41"/>
    </row>
    <row r="8047" spans="2:7" ht="11.45" customHeight="1" x14ac:dyDescent="0.2">
      <c r="C8047" s="41"/>
    </row>
    <row r="8048" spans="2:7" ht="11.45" customHeight="1" x14ac:dyDescent="0.2">
      <c r="C8048" s="41"/>
    </row>
    <row r="8049" spans="3:3" ht="11.45" customHeight="1" x14ac:dyDescent="0.2">
      <c r="C8049" s="41"/>
    </row>
    <row r="8050" spans="3:3" ht="11.45" customHeight="1" x14ac:dyDescent="0.2">
      <c r="C8050" s="41"/>
    </row>
    <row r="8051" spans="3:3" ht="11.45" customHeight="1" x14ac:dyDescent="0.2">
      <c r="C8051" s="41"/>
    </row>
    <row r="8052" spans="3:3" ht="11.45" customHeight="1" x14ac:dyDescent="0.2">
      <c r="C8052" s="41"/>
    </row>
    <row r="8053" spans="3:3" ht="11.45" customHeight="1" x14ac:dyDescent="0.2">
      <c r="C8053" s="41"/>
    </row>
    <row r="8054" spans="3:3" ht="11.45" customHeight="1" x14ac:dyDescent="0.2">
      <c r="C8054" s="41"/>
    </row>
    <row r="8055" spans="3:3" ht="11.45" customHeight="1" x14ac:dyDescent="0.2">
      <c r="C8055" s="41"/>
    </row>
    <row r="8056" spans="3:3" ht="11.45" customHeight="1" x14ac:dyDescent="0.2">
      <c r="C8056" s="41"/>
    </row>
    <row r="8057" spans="3:3" ht="11.45" customHeight="1" x14ac:dyDescent="0.2">
      <c r="C8057" s="41"/>
    </row>
    <row r="8058" spans="3:3" ht="11.45" customHeight="1" x14ac:dyDescent="0.2">
      <c r="C8058" s="41"/>
    </row>
    <row r="8059" spans="3:3" ht="11.45" customHeight="1" x14ac:dyDescent="0.2">
      <c r="C8059" s="41"/>
    </row>
    <row r="8060" spans="3:3" ht="11.45" customHeight="1" x14ac:dyDescent="0.2">
      <c r="C8060" s="41"/>
    </row>
    <row r="8061" spans="3:3" ht="11.45" customHeight="1" x14ac:dyDescent="0.2">
      <c r="C8061" s="41"/>
    </row>
    <row r="8062" spans="3:3" ht="11.45" customHeight="1" x14ac:dyDescent="0.2">
      <c r="C8062" s="41"/>
    </row>
    <row r="8063" spans="3:3" ht="11.45" customHeight="1" x14ac:dyDescent="0.2">
      <c r="C8063" s="41"/>
    </row>
    <row r="8064" spans="3:3" ht="11.45" customHeight="1" x14ac:dyDescent="0.2">
      <c r="C8064" s="41"/>
    </row>
    <row r="8065" spans="3:3" ht="11.45" customHeight="1" x14ac:dyDescent="0.2">
      <c r="C8065" s="41"/>
    </row>
    <row r="8066" spans="3:3" ht="11.45" customHeight="1" x14ac:dyDescent="0.2">
      <c r="C8066" s="41"/>
    </row>
    <row r="8067" spans="3:3" ht="11.45" customHeight="1" x14ac:dyDescent="0.2">
      <c r="C8067" s="41"/>
    </row>
    <row r="8068" spans="3:3" ht="11.45" customHeight="1" x14ac:dyDescent="0.2">
      <c r="C8068" s="41"/>
    </row>
    <row r="8069" spans="3:3" ht="11.45" customHeight="1" x14ac:dyDescent="0.2">
      <c r="C8069" s="41"/>
    </row>
    <row r="8070" spans="3:3" ht="11.45" customHeight="1" x14ac:dyDescent="0.2">
      <c r="C8070" s="41"/>
    </row>
    <row r="8071" spans="3:3" ht="11.45" customHeight="1" x14ac:dyDescent="0.2">
      <c r="C8071" s="41"/>
    </row>
    <row r="8072" spans="3:3" ht="11.45" customHeight="1" x14ac:dyDescent="0.2">
      <c r="C8072" s="41"/>
    </row>
    <row r="8073" spans="3:3" ht="11.45" customHeight="1" x14ac:dyDescent="0.2">
      <c r="C8073" s="41"/>
    </row>
    <row r="8074" spans="3:3" ht="11.45" customHeight="1" x14ac:dyDescent="0.2">
      <c r="C8074" s="41"/>
    </row>
    <row r="8075" spans="3:3" ht="11.45" customHeight="1" x14ac:dyDescent="0.2">
      <c r="C8075" s="41"/>
    </row>
    <row r="8076" spans="3:3" ht="11.45" customHeight="1" x14ac:dyDescent="0.2">
      <c r="C8076" s="41"/>
    </row>
    <row r="8077" spans="3:3" ht="11.45" customHeight="1" x14ac:dyDescent="0.2">
      <c r="C8077" s="41"/>
    </row>
    <row r="8078" spans="3:3" ht="11.45" customHeight="1" x14ac:dyDescent="0.2">
      <c r="C8078" s="41"/>
    </row>
    <row r="8079" spans="3:3" ht="11.45" customHeight="1" x14ac:dyDescent="0.2">
      <c r="C8079" s="41"/>
    </row>
    <row r="8080" spans="3:3" ht="11.45" customHeight="1" x14ac:dyDescent="0.2">
      <c r="C8080" s="41"/>
    </row>
    <row r="8081" spans="3:3" ht="11.45" customHeight="1" x14ac:dyDescent="0.2">
      <c r="C8081" s="41"/>
    </row>
    <row r="8082" spans="3:3" ht="11.45" customHeight="1" x14ac:dyDescent="0.2">
      <c r="C8082" s="41"/>
    </row>
    <row r="8083" spans="3:3" ht="11.45" customHeight="1" x14ac:dyDescent="0.2">
      <c r="C8083" s="41"/>
    </row>
    <row r="8084" spans="3:3" ht="11.45" customHeight="1" x14ac:dyDescent="0.2">
      <c r="C8084" s="41"/>
    </row>
    <row r="8085" spans="3:3" ht="11.45" customHeight="1" x14ac:dyDescent="0.2">
      <c r="C8085" s="41"/>
    </row>
    <row r="8086" spans="3:3" ht="11.45" customHeight="1" x14ac:dyDescent="0.2">
      <c r="C8086" s="41"/>
    </row>
    <row r="8087" spans="3:3" ht="11.45" customHeight="1" x14ac:dyDescent="0.2">
      <c r="C8087" s="41"/>
    </row>
    <row r="8088" spans="3:3" ht="11.45" customHeight="1" x14ac:dyDescent="0.2">
      <c r="C8088" s="41"/>
    </row>
    <row r="8089" spans="3:3" ht="11.45" customHeight="1" x14ac:dyDescent="0.2">
      <c r="C8089" s="41"/>
    </row>
    <row r="8090" spans="3:3" ht="11.45" customHeight="1" x14ac:dyDescent="0.2">
      <c r="C8090" s="41"/>
    </row>
    <row r="8091" spans="3:3" ht="11.45" customHeight="1" x14ac:dyDescent="0.2">
      <c r="C8091" s="41"/>
    </row>
    <row r="8092" spans="3:3" ht="11.45" customHeight="1" x14ac:dyDescent="0.2">
      <c r="C8092" s="41"/>
    </row>
    <row r="8093" spans="3:3" ht="11.45" customHeight="1" x14ac:dyDescent="0.2">
      <c r="C8093" s="41"/>
    </row>
    <row r="8094" spans="3:3" ht="11.45" customHeight="1" x14ac:dyDescent="0.2">
      <c r="C8094" s="41"/>
    </row>
    <row r="8095" spans="3:3" ht="11.45" customHeight="1" x14ac:dyDescent="0.2">
      <c r="C8095" s="41"/>
    </row>
    <row r="8096" spans="3:3" ht="11.45" customHeight="1" x14ac:dyDescent="0.2">
      <c r="C8096" s="41"/>
    </row>
    <row r="8097" spans="3:3" ht="11.45" customHeight="1" x14ac:dyDescent="0.2">
      <c r="C8097" s="41"/>
    </row>
    <row r="8098" spans="3:3" ht="11.45" customHeight="1" x14ac:dyDescent="0.2">
      <c r="C8098" s="41"/>
    </row>
    <row r="8099" spans="3:3" ht="11.45" customHeight="1" x14ac:dyDescent="0.2">
      <c r="C8099" s="41"/>
    </row>
    <row r="8100" spans="3:3" ht="11.45" customHeight="1" x14ac:dyDescent="0.2">
      <c r="C8100" s="41"/>
    </row>
    <row r="8101" spans="3:3" ht="11.45" customHeight="1" x14ac:dyDescent="0.2">
      <c r="C8101" s="41"/>
    </row>
    <row r="8102" spans="3:3" ht="11.45" customHeight="1" x14ac:dyDescent="0.2">
      <c r="C8102" s="41"/>
    </row>
    <row r="8103" spans="3:3" ht="11.45" customHeight="1" x14ac:dyDescent="0.2">
      <c r="C8103" s="41"/>
    </row>
    <row r="8104" spans="3:3" ht="11.45" customHeight="1" x14ac:dyDescent="0.2">
      <c r="C8104" s="41"/>
    </row>
    <row r="8105" spans="3:3" ht="11.45" customHeight="1" x14ac:dyDescent="0.2">
      <c r="C8105" s="41"/>
    </row>
    <row r="8106" spans="3:3" ht="11.45" customHeight="1" x14ac:dyDescent="0.2">
      <c r="C8106" s="41"/>
    </row>
    <row r="8107" spans="3:3" ht="11.45" customHeight="1" x14ac:dyDescent="0.2">
      <c r="C8107" s="41"/>
    </row>
    <row r="8108" spans="3:3" ht="11.45" customHeight="1" x14ac:dyDescent="0.2">
      <c r="C8108" s="41"/>
    </row>
    <row r="8109" spans="3:3" ht="11.45" customHeight="1" x14ac:dyDescent="0.2">
      <c r="C8109" s="41"/>
    </row>
    <row r="8110" spans="3:3" ht="11.45" customHeight="1" x14ac:dyDescent="0.2">
      <c r="C8110" s="41"/>
    </row>
    <row r="8111" spans="3:3" ht="11.45" customHeight="1" x14ac:dyDescent="0.2">
      <c r="C8111" s="41"/>
    </row>
    <row r="8112" spans="3:3" ht="11.45" customHeight="1" x14ac:dyDescent="0.2">
      <c r="C8112" s="41"/>
    </row>
    <row r="8113" spans="3:3" ht="11.45" customHeight="1" x14ac:dyDescent="0.2">
      <c r="C8113" s="41"/>
    </row>
    <row r="8114" spans="3:3" ht="11.45" customHeight="1" x14ac:dyDescent="0.2">
      <c r="C8114" s="41"/>
    </row>
    <row r="8115" spans="3:3" ht="11.45" customHeight="1" x14ac:dyDescent="0.2">
      <c r="C8115" s="41"/>
    </row>
    <row r="8116" spans="3:3" ht="11.45" customHeight="1" x14ac:dyDescent="0.2">
      <c r="C8116" s="41"/>
    </row>
    <row r="8117" spans="3:3" ht="11.45" customHeight="1" x14ac:dyDescent="0.2">
      <c r="C8117" s="41"/>
    </row>
    <row r="8118" spans="3:3" ht="11.45" customHeight="1" x14ac:dyDescent="0.2">
      <c r="C8118" s="41"/>
    </row>
    <row r="8119" spans="3:3" ht="11.45" customHeight="1" x14ac:dyDescent="0.2">
      <c r="C8119" s="41"/>
    </row>
    <row r="8120" spans="3:3" ht="11.45" customHeight="1" x14ac:dyDescent="0.2">
      <c r="C8120" s="41"/>
    </row>
    <row r="8121" spans="3:3" ht="11.45" customHeight="1" x14ac:dyDescent="0.2">
      <c r="C8121" s="41"/>
    </row>
    <row r="8122" spans="3:3" ht="11.45" customHeight="1" x14ac:dyDescent="0.2">
      <c r="C8122" s="41"/>
    </row>
    <row r="8123" spans="3:3" ht="11.45" customHeight="1" x14ac:dyDescent="0.2">
      <c r="C8123" s="41"/>
    </row>
    <row r="8124" spans="3:3" ht="11.45" customHeight="1" x14ac:dyDescent="0.2">
      <c r="C8124" s="41"/>
    </row>
    <row r="8125" spans="3:3" ht="11.45" customHeight="1" x14ac:dyDescent="0.2">
      <c r="C8125" s="41"/>
    </row>
    <row r="8126" spans="3:3" ht="11.45" customHeight="1" x14ac:dyDescent="0.2">
      <c r="C8126" s="41"/>
    </row>
    <row r="8127" spans="3:3" ht="11.45" customHeight="1" x14ac:dyDescent="0.2">
      <c r="C8127" s="41"/>
    </row>
    <row r="8128" spans="3:3" ht="11.45" customHeight="1" x14ac:dyDescent="0.2">
      <c r="C8128" s="41"/>
    </row>
    <row r="8129" spans="3:3" ht="11.45" customHeight="1" x14ac:dyDescent="0.2">
      <c r="C8129" s="41"/>
    </row>
    <row r="8130" spans="3:3" ht="11.45" customHeight="1" x14ac:dyDescent="0.2">
      <c r="C8130" s="41"/>
    </row>
    <row r="8131" spans="3:3" ht="11.45" customHeight="1" x14ac:dyDescent="0.2">
      <c r="C8131" s="41"/>
    </row>
    <row r="8132" spans="3:3" ht="11.45" customHeight="1" x14ac:dyDescent="0.2">
      <c r="C8132" s="41"/>
    </row>
    <row r="8133" spans="3:3" ht="11.45" customHeight="1" x14ac:dyDescent="0.2">
      <c r="C8133" s="41"/>
    </row>
    <row r="8134" spans="3:3" ht="11.45" customHeight="1" x14ac:dyDescent="0.2">
      <c r="C8134" s="41"/>
    </row>
    <row r="8135" spans="3:3" ht="11.45" customHeight="1" x14ac:dyDescent="0.2">
      <c r="C8135" s="41"/>
    </row>
    <row r="8136" spans="3:3" ht="11.45" customHeight="1" x14ac:dyDescent="0.2">
      <c r="C8136" s="41"/>
    </row>
    <row r="8137" spans="3:3" ht="11.45" customHeight="1" x14ac:dyDescent="0.2">
      <c r="C8137" s="41"/>
    </row>
    <row r="8138" spans="3:3" ht="11.45" customHeight="1" x14ac:dyDescent="0.2">
      <c r="C8138" s="41"/>
    </row>
    <row r="8139" spans="3:3" ht="11.45" customHeight="1" x14ac:dyDescent="0.2">
      <c r="C8139" s="41"/>
    </row>
    <row r="8140" spans="3:3" ht="11.45" customHeight="1" x14ac:dyDescent="0.2">
      <c r="C8140" s="41"/>
    </row>
    <row r="8141" spans="3:3" ht="11.45" customHeight="1" x14ac:dyDescent="0.2">
      <c r="C8141" s="41"/>
    </row>
    <row r="8142" spans="3:3" ht="11.45" customHeight="1" x14ac:dyDescent="0.2">
      <c r="C8142" s="41"/>
    </row>
    <row r="8143" spans="3:3" ht="11.45" customHeight="1" x14ac:dyDescent="0.2">
      <c r="C8143" s="41"/>
    </row>
    <row r="8144" spans="3:3" ht="11.45" customHeight="1" x14ac:dyDescent="0.2">
      <c r="C8144" s="41"/>
    </row>
    <row r="8145" spans="3:3" ht="11.45" customHeight="1" x14ac:dyDescent="0.2">
      <c r="C8145" s="41"/>
    </row>
    <row r="8146" spans="3:3" ht="11.45" customHeight="1" x14ac:dyDescent="0.2">
      <c r="C8146" s="41"/>
    </row>
    <row r="8147" spans="3:3" ht="11.45" customHeight="1" x14ac:dyDescent="0.2">
      <c r="C8147" s="41"/>
    </row>
    <row r="8148" spans="3:3" ht="11.45" customHeight="1" x14ac:dyDescent="0.2">
      <c r="C8148" s="41"/>
    </row>
    <row r="8149" spans="3:3" ht="11.45" customHeight="1" x14ac:dyDescent="0.2">
      <c r="C8149" s="41"/>
    </row>
    <row r="8150" spans="3:3" ht="11.45" customHeight="1" x14ac:dyDescent="0.2">
      <c r="C8150" s="41"/>
    </row>
    <row r="8151" spans="3:3" ht="11.45" customHeight="1" x14ac:dyDescent="0.2">
      <c r="C8151" s="41"/>
    </row>
    <row r="8152" spans="3:3" ht="11.45" customHeight="1" x14ac:dyDescent="0.2">
      <c r="C8152" s="41"/>
    </row>
    <row r="8153" spans="3:3" ht="11.45" customHeight="1" x14ac:dyDescent="0.2">
      <c r="C8153" s="41"/>
    </row>
    <row r="8154" spans="3:3" ht="11.45" customHeight="1" x14ac:dyDescent="0.2">
      <c r="C8154" s="41"/>
    </row>
    <row r="8155" spans="3:3" ht="11.45" customHeight="1" x14ac:dyDescent="0.2">
      <c r="C8155" s="41"/>
    </row>
    <row r="8156" spans="3:3" ht="11.45" customHeight="1" x14ac:dyDescent="0.2">
      <c r="C8156" s="41"/>
    </row>
    <row r="8157" spans="3:3" ht="11.45" customHeight="1" x14ac:dyDescent="0.2">
      <c r="C8157" s="41"/>
    </row>
    <row r="8158" spans="3:3" ht="11.45" customHeight="1" x14ac:dyDescent="0.2">
      <c r="C8158" s="41"/>
    </row>
    <row r="8159" spans="3:3" ht="11.45" customHeight="1" x14ac:dyDescent="0.2">
      <c r="C8159" s="41"/>
    </row>
    <row r="8160" spans="3:3" ht="11.45" customHeight="1" x14ac:dyDescent="0.2">
      <c r="C8160" s="41"/>
    </row>
    <row r="8161" spans="3:3" ht="11.45" customHeight="1" x14ac:dyDescent="0.2">
      <c r="C8161" s="41"/>
    </row>
    <row r="8162" spans="3:3" ht="11.45" customHeight="1" x14ac:dyDescent="0.2">
      <c r="C8162" s="41"/>
    </row>
    <row r="8163" spans="3:3" ht="11.45" customHeight="1" x14ac:dyDescent="0.2">
      <c r="C8163" s="41"/>
    </row>
    <row r="8164" spans="3:3" ht="11.45" customHeight="1" x14ac:dyDescent="0.2">
      <c r="C8164" s="41"/>
    </row>
    <row r="8165" spans="3:3" ht="11.45" customHeight="1" x14ac:dyDescent="0.2">
      <c r="C8165" s="41"/>
    </row>
    <row r="8166" spans="3:3" ht="11.45" customHeight="1" x14ac:dyDescent="0.2">
      <c r="C8166" s="41"/>
    </row>
    <row r="8167" spans="3:3" ht="11.45" customHeight="1" x14ac:dyDescent="0.2">
      <c r="C8167" s="41"/>
    </row>
    <row r="8168" spans="3:3" ht="11.45" customHeight="1" x14ac:dyDescent="0.2">
      <c r="C8168" s="41"/>
    </row>
    <row r="8169" spans="3:3" ht="11.45" customHeight="1" x14ac:dyDescent="0.2">
      <c r="C8169" s="41"/>
    </row>
    <row r="8170" spans="3:3" ht="11.45" customHeight="1" x14ac:dyDescent="0.2">
      <c r="C8170" s="41"/>
    </row>
    <row r="8171" spans="3:3" ht="11.45" customHeight="1" x14ac:dyDescent="0.2">
      <c r="C8171" s="41"/>
    </row>
    <row r="8172" spans="3:3" ht="11.45" customHeight="1" x14ac:dyDescent="0.2">
      <c r="C8172" s="41"/>
    </row>
    <row r="8173" spans="3:3" ht="11.45" customHeight="1" x14ac:dyDescent="0.2">
      <c r="C8173" s="41"/>
    </row>
    <row r="8174" spans="3:3" ht="11.45" customHeight="1" x14ac:dyDescent="0.2">
      <c r="C8174" s="41"/>
    </row>
    <row r="8175" spans="3:3" ht="11.45" customHeight="1" x14ac:dyDescent="0.2">
      <c r="C8175" s="41"/>
    </row>
    <row r="8176" spans="3:3" ht="11.45" customHeight="1" x14ac:dyDescent="0.2">
      <c r="C8176" s="41"/>
    </row>
    <row r="8177" spans="3:3" ht="11.45" customHeight="1" x14ac:dyDescent="0.2">
      <c r="C8177" s="41"/>
    </row>
    <row r="8178" spans="3:3" ht="11.45" customHeight="1" x14ac:dyDescent="0.2">
      <c r="C8178" s="41"/>
    </row>
    <row r="8179" spans="3:3" ht="11.45" customHeight="1" x14ac:dyDescent="0.2">
      <c r="C8179" s="41"/>
    </row>
    <row r="8180" spans="3:3" ht="11.45" customHeight="1" x14ac:dyDescent="0.2">
      <c r="C8180" s="41"/>
    </row>
    <row r="8181" spans="3:3" ht="11.45" customHeight="1" x14ac:dyDescent="0.2">
      <c r="C8181" s="41"/>
    </row>
    <row r="8182" spans="3:3" ht="11.45" customHeight="1" x14ac:dyDescent="0.2">
      <c r="C8182" s="41"/>
    </row>
    <row r="8183" spans="3:3" ht="11.45" customHeight="1" x14ac:dyDescent="0.2">
      <c r="C8183" s="41"/>
    </row>
    <row r="8184" spans="3:3" ht="11.45" customHeight="1" x14ac:dyDescent="0.2">
      <c r="C8184" s="41"/>
    </row>
    <row r="8185" spans="3:3" ht="11.45" customHeight="1" x14ac:dyDescent="0.2">
      <c r="C8185" s="41"/>
    </row>
    <row r="8186" spans="3:3" ht="11.45" customHeight="1" x14ac:dyDescent="0.2">
      <c r="C8186" s="41"/>
    </row>
    <row r="8187" spans="3:3" ht="11.45" customHeight="1" x14ac:dyDescent="0.2">
      <c r="C8187" s="41"/>
    </row>
    <row r="8188" spans="3:3" ht="11.45" customHeight="1" x14ac:dyDescent="0.2">
      <c r="C8188" s="41"/>
    </row>
    <row r="8189" spans="3:3" ht="11.45" customHeight="1" x14ac:dyDescent="0.2">
      <c r="C8189" s="41"/>
    </row>
    <row r="8190" spans="3:3" ht="11.45" customHeight="1" x14ac:dyDescent="0.2">
      <c r="C8190" s="41"/>
    </row>
    <row r="8191" spans="3:3" ht="11.45" customHeight="1" x14ac:dyDescent="0.2">
      <c r="C8191" s="41"/>
    </row>
    <row r="8192" spans="3:3" ht="11.45" customHeight="1" x14ac:dyDescent="0.2">
      <c r="C8192" s="41"/>
    </row>
    <row r="8193" spans="3:3" ht="11.45" customHeight="1" x14ac:dyDescent="0.2">
      <c r="C8193" s="41"/>
    </row>
    <row r="8194" spans="3:3" ht="11.45" customHeight="1" x14ac:dyDescent="0.2">
      <c r="C8194" s="41"/>
    </row>
    <row r="8195" spans="3:3" ht="11.45" customHeight="1" x14ac:dyDescent="0.2">
      <c r="C8195" s="41"/>
    </row>
    <row r="8196" spans="3:3" ht="11.45" customHeight="1" x14ac:dyDescent="0.2">
      <c r="C8196" s="41"/>
    </row>
    <row r="8197" spans="3:3" ht="11.45" customHeight="1" x14ac:dyDescent="0.2">
      <c r="C8197" s="41"/>
    </row>
    <row r="8198" spans="3:3" ht="11.45" customHeight="1" x14ac:dyDescent="0.2">
      <c r="C8198" s="41"/>
    </row>
    <row r="8199" spans="3:3" ht="11.45" customHeight="1" x14ac:dyDescent="0.2">
      <c r="C8199" s="41"/>
    </row>
    <row r="8200" spans="3:3" ht="11.45" customHeight="1" x14ac:dyDescent="0.2">
      <c r="C8200" s="41"/>
    </row>
    <row r="8201" spans="3:3" ht="11.45" customHeight="1" x14ac:dyDescent="0.2">
      <c r="C8201" s="41"/>
    </row>
    <row r="8202" spans="3:3" ht="11.45" customHeight="1" x14ac:dyDescent="0.2">
      <c r="C8202" s="41"/>
    </row>
    <row r="8203" spans="3:3" ht="11.45" customHeight="1" x14ac:dyDescent="0.2">
      <c r="C8203" s="41"/>
    </row>
    <row r="8204" spans="3:3" ht="11.45" customHeight="1" x14ac:dyDescent="0.2">
      <c r="C8204" s="41"/>
    </row>
    <row r="8205" spans="3:3" ht="11.45" customHeight="1" x14ac:dyDescent="0.2">
      <c r="C8205" s="41"/>
    </row>
    <row r="8206" spans="3:3" ht="11.45" customHeight="1" x14ac:dyDescent="0.2">
      <c r="C8206" s="41"/>
    </row>
    <row r="8207" spans="3:3" ht="11.45" customHeight="1" x14ac:dyDescent="0.2">
      <c r="C8207" s="41"/>
    </row>
    <row r="8208" spans="3:3" ht="11.45" customHeight="1" x14ac:dyDescent="0.2">
      <c r="C8208" s="41"/>
    </row>
    <row r="8209" spans="3:3" ht="11.45" customHeight="1" x14ac:dyDescent="0.2">
      <c r="C8209" s="41"/>
    </row>
    <row r="8210" spans="3:3" ht="11.45" customHeight="1" x14ac:dyDescent="0.2">
      <c r="C8210" s="41"/>
    </row>
    <row r="8211" spans="3:3" ht="11.45" customHeight="1" x14ac:dyDescent="0.2">
      <c r="C8211" s="41"/>
    </row>
    <row r="8212" spans="3:3" ht="11.45" customHeight="1" x14ac:dyDescent="0.2">
      <c r="C8212" s="41"/>
    </row>
    <row r="8213" spans="3:3" ht="11.45" customHeight="1" x14ac:dyDescent="0.2">
      <c r="C8213" s="41"/>
    </row>
    <row r="8214" spans="3:3" ht="11.45" customHeight="1" x14ac:dyDescent="0.2">
      <c r="C8214" s="41"/>
    </row>
    <row r="8215" spans="3:3" ht="11.45" customHeight="1" x14ac:dyDescent="0.2">
      <c r="C8215" s="41"/>
    </row>
    <row r="8216" spans="3:3" ht="11.45" customHeight="1" x14ac:dyDescent="0.2">
      <c r="C8216" s="41"/>
    </row>
    <row r="8217" spans="3:3" ht="11.45" customHeight="1" x14ac:dyDescent="0.2">
      <c r="C8217" s="41"/>
    </row>
    <row r="8218" spans="3:3" ht="11.45" customHeight="1" x14ac:dyDescent="0.2">
      <c r="C8218" s="41"/>
    </row>
    <row r="8219" spans="3:3" ht="11.45" customHeight="1" x14ac:dyDescent="0.2">
      <c r="C8219" s="41"/>
    </row>
    <row r="8220" spans="3:3" ht="11.45" customHeight="1" x14ac:dyDescent="0.2">
      <c r="C8220" s="41"/>
    </row>
    <row r="8221" spans="3:3" ht="11.45" customHeight="1" x14ac:dyDescent="0.2">
      <c r="C8221" s="41"/>
    </row>
    <row r="8222" spans="3:3" ht="11.45" customHeight="1" x14ac:dyDescent="0.2">
      <c r="C8222" s="41"/>
    </row>
    <row r="8223" spans="3:3" ht="11.45" customHeight="1" x14ac:dyDescent="0.2">
      <c r="C8223" s="41"/>
    </row>
    <row r="8224" spans="3:3" ht="11.45" customHeight="1" x14ac:dyDescent="0.2">
      <c r="C8224" s="41"/>
    </row>
    <row r="8225" spans="3:3" ht="11.45" customHeight="1" x14ac:dyDescent="0.2">
      <c r="C8225" s="41"/>
    </row>
    <row r="8226" spans="3:3" ht="11.45" customHeight="1" x14ac:dyDescent="0.2">
      <c r="C8226" s="41"/>
    </row>
    <row r="8227" spans="3:3" ht="11.45" customHeight="1" x14ac:dyDescent="0.2">
      <c r="C8227" s="41"/>
    </row>
    <row r="8228" spans="3:3" ht="11.45" customHeight="1" x14ac:dyDescent="0.2">
      <c r="C8228" s="41"/>
    </row>
    <row r="8229" spans="3:3" ht="11.45" customHeight="1" x14ac:dyDescent="0.2">
      <c r="C8229" s="41"/>
    </row>
    <row r="8230" spans="3:3" ht="11.45" customHeight="1" x14ac:dyDescent="0.2">
      <c r="C8230" s="41"/>
    </row>
    <row r="8231" spans="3:3" ht="11.45" customHeight="1" x14ac:dyDescent="0.2">
      <c r="C8231" s="41"/>
    </row>
    <row r="8232" spans="3:3" ht="11.45" customHeight="1" x14ac:dyDescent="0.2">
      <c r="C8232" s="41"/>
    </row>
    <row r="8233" spans="3:3" ht="11.45" customHeight="1" x14ac:dyDescent="0.2">
      <c r="C8233" s="41"/>
    </row>
    <row r="8234" spans="3:3" ht="11.45" customHeight="1" x14ac:dyDescent="0.2">
      <c r="C8234" s="41"/>
    </row>
    <row r="8235" spans="3:3" ht="11.45" customHeight="1" x14ac:dyDescent="0.2">
      <c r="C8235" s="41"/>
    </row>
    <row r="8236" spans="3:3" ht="11.45" customHeight="1" x14ac:dyDescent="0.2">
      <c r="C8236" s="41"/>
    </row>
    <row r="8237" spans="3:3" ht="11.45" customHeight="1" x14ac:dyDescent="0.2">
      <c r="C8237" s="41"/>
    </row>
    <row r="8238" spans="3:3" ht="11.45" customHeight="1" x14ac:dyDescent="0.2">
      <c r="C8238" s="41"/>
    </row>
    <row r="8239" spans="3:3" ht="11.45" customHeight="1" x14ac:dyDescent="0.2">
      <c r="C8239" s="41"/>
    </row>
    <row r="8240" spans="3:3" ht="11.45" customHeight="1" x14ac:dyDescent="0.2">
      <c r="C8240" s="41"/>
    </row>
    <row r="8241" spans="3:3" ht="11.45" customHeight="1" x14ac:dyDescent="0.2">
      <c r="C8241" s="41"/>
    </row>
    <row r="8242" spans="3:3" ht="11.45" customHeight="1" x14ac:dyDescent="0.2">
      <c r="C8242" s="41"/>
    </row>
    <row r="8243" spans="3:3" ht="11.45" customHeight="1" x14ac:dyDescent="0.2">
      <c r="C8243" s="41"/>
    </row>
    <row r="8244" spans="3:3" ht="11.45" customHeight="1" x14ac:dyDescent="0.2">
      <c r="C8244" s="41"/>
    </row>
    <row r="8245" spans="3:3" ht="11.45" customHeight="1" x14ac:dyDescent="0.2">
      <c r="C8245" s="41"/>
    </row>
    <row r="8246" spans="3:3" ht="11.45" customHeight="1" x14ac:dyDescent="0.2">
      <c r="C8246" s="41"/>
    </row>
    <row r="8247" spans="3:3" ht="11.45" customHeight="1" x14ac:dyDescent="0.2">
      <c r="C8247" s="41"/>
    </row>
    <row r="8248" spans="3:3" ht="11.45" customHeight="1" x14ac:dyDescent="0.2">
      <c r="C8248" s="41"/>
    </row>
    <row r="8249" spans="3:3" ht="11.45" customHeight="1" x14ac:dyDescent="0.2">
      <c r="C8249" s="41"/>
    </row>
    <row r="8250" spans="3:3" ht="11.45" customHeight="1" x14ac:dyDescent="0.2">
      <c r="C8250" s="41"/>
    </row>
    <row r="8251" spans="3:3" ht="11.45" customHeight="1" x14ac:dyDescent="0.2">
      <c r="C8251" s="41"/>
    </row>
    <row r="8252" spans="3:3" ht="11.45" customHeight="1" x14ac:dyDescent="0.2">
      <c r="C8252" s="41"/>
    </row>
    <row r="8253" spans="3:3" ht="11.45" customHeight="1" x14ac:dyDescent="0.2">
      <c r="C8253" s="41"/>
    </row>
    <row r="8254" spans="3:3" ht="11.45" customHeight="1" x14ac:dyDescent="0.2">
      <c r="C8254" s="41"/>
    </row>
    <row r="8255" spans="3:3" ht="11.45" customHeight="1" x14ac:dyDescent="0.2">
      <c r="C8255" s="41"/>
    </row>
    <row r="8256" spans="3:3" ht="11.45" customHeight="1" x14ac:dyDescent="0.2">
      <c r="C8256" s="41"/>
    </row>
    <row r="8257" spans="3:3" ht="11.45" customHeight="1" x14ac:dyDescent="0.2">
      <c r="C8257" s="41"/>
    </row>
    <row r="8258" spans="3:3" ht="11.45" customHeight="1" x14ac:dyDescent="0.2">
      <c r="C8258" s="41"/>
    </row>
    <row r="8259" spans="3:3" ht="11.45" customHeight="1" x14ac:dyDescent="0.2">
      <c r="C8259" s="41"/>
    </row>
    <row r="8260" spans="3:3" ht="11.45" customHeight="1" x14ac:dyDescent="0.2">
      <c r="C8260" s="41"/>
    </row>
    <row r="8261" spans="3:3" ht="11.45" customHeight="1" x14ac:dyDescent="0.2">
      <c r="C8261" s="41"/>
    </row>
    <row r="8262" spans="3:3" ht="11.45" customHeight="1" x14ac:dyDescent="0.2">
      <c r="C8262" s="41"/>
    </row>
    <row r="8263" spans="3:3" ht="11.45" customHeight="1" x14ac:dyDescent="0.2">
      <c r="C8263" s="41"/>
    </row>
    <row r="8264" spans="3:3" ht="11.45" customHeight="1" x14ac:dyDescent="0.2">
      <c r="C8264" s="41"/>
    </row>
    <row r="8265" spans="3:3" ht="11.45" customHeight="1" x14ac:dyDescent="0.2">
      <c r="C8265" s="41"/>
    </row>
    <row r="8266" spans="3:3" ht="11.45" customHeight="1" x14ac:dyDescent="0.2">
      <c r="C8266" s="41"/>
    </row>
    <row r="8267" spans="3:3" ht="11.45" customHeight="1" x14ac:dyDescent="0.2">
      <c r="C8267" s="41"/>
    </row>
    <row r="8268" spans="3:3" ht="11.45" customHeight="1" x14ac:dyDescent="0.2">
      <c r="C8268" s="41"/>
    </row>
    <row r="8269" spans="3:3" ht="11.45" customHeight="1" x14ac:dyDescent="0.2">
      <c r="C8269" s="41"/>
    </row>
    <row r="8270" spans="3:3" ht="11.45" customHeight="1" x14ac:dyDescent="0.2">
      <c r="C8270" s="41"/>
    </row>
    <row r="8271" spans="3:3" ht="11.45" customHeight="1" x14ac:dyDescent="0.2">
      <c r="C8271" s="41"/>
    </row>
    <row r="8272" spans="3:3" ht="11.45" customHeight="1" x14ac:dyDescent="0.2">
      <c r="C8272" s="41"/>
    </row>
    <row r="8273" spans="3:3" ht="11.45" customHeight="1" x14ac:dyDescent="0.2">
      <c r="C8273" s="41"/>
    </row>
    <row r="8274" spans="3:3" ht="11.45" customHeight="1" x14ac:dyDescent="0.2">
      <c r="C8274" s="41"/>
    </row>
    <row r="8275" spans="3:3" ht="11.45" customHeight="1" x14ac:dyDescent="0.2">
      <c r="C8275" s="41"/>
    </row>
    <row r="8276" spans="3:3" ht="11.45" customHeight="1" x14ac:dyDescent="0.2">
      <c r="C8276" s="41"/>
    </row>
  </sheetData>
  <autoFilter ref="A6:G6"/>
  <mergeCells count="6">
    <mergeCell ref="B3:B4"/>
    <mergeCell ref="E5:F5"/>
    <mergeCell ref="D5:D6"/>
    <mergeCell ref="G5:G6"/>
    <mergeCell ref="B5:B6"/>
    <mergeCell ref="C5:C6"/>
  </mergeCells>
  <pageMargins left="0.75" right="1" top="0.75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</dc:creator>
  <cp:lastModifiedBy>310</cp:lastModifiedBy>
  <dcterms:created xsi:type="dcterms:W3CDTF">2018-09-26T08:45:36Z</dcterms:created>
  <dcterms:modified xsi:type="dcterms:W3CDTF">2018-09-26T08:45:37Z</dcterms:modified>
</cp:coreProperties>
</file>