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Елена\Dropbox\Прайсы и накладные\Прайсы\"/>
    </mc:Choice>
  </mc:AlternateContent>
  <bookViews>
    <workbookView xWindow="0" yWindow="0" windowWidth="11400" windowHeight="5892" tabRatio="0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L389" i="1" l="1"/>
  <c r="L388" i="1"/>
  <c r="J389" i="1"/>
  <c r="J388" i="1"/>
  <c r="L386" i="1"/>
  <c r="L385" i="1"/>
  <c r="J386" i="1"/>
  <c r="J385" i="1"/>
  <c r="L384" i="1"/>
  <c r="L383" i="1"/>
  <c r="J384" i="1"/>
  <c r="J383" i="1"/>
  <c r="L382" i="1"/>
  <c r="L381" i="1"/>
  <c r="J382" i="1"/>
  <c r="J381" i="1"/>
  <c r="L380" i="1"/>
  <c r="L379" i="1"/>
  <c r="J380" i="1"/>
  <c r="J379" i="1"/>
  <c r="L378" i="1"/>
  <c r="L377" i="1"/>
  <c r="J378" i="1"/>
  <c r="J377" i="1"/>
  <c r="L376" i="1"/>
  <c r="L375" i="1"/>
  <c r="J376" i="1"/>
  <c r="J375" i="1"/>
  <c r="L374" i="1"/>
  <c r="L373" i="1"/>
  <c r="J374" i="1"/>
  <c r="J373" i="1"/>
  <c r="L371" i="1"/>
  <c r="L370" i="1"/>
  <c r="J371" i="1"/>
  <c r="J370" i="1"/>
  <c r="L369" i="1"/>
  <c r="L368" i="1"/>
  <c r="J369" i="1"/>
  <c r="J368" i="1"/>
  <c r="L367" i="1"/>
  <c r="L366" i="1"/>
  <c r="J367" i="1"/>
  <c r="J366" i="1"/>
  <c r="L365" i="1"/>
  <c r="L364" i="1"/>
  <c r="J365" i="1"/>
  <c r="J364" i="1"/>
  <c r="L363" i="1"/>
  <c r="L362" i="1"/>
  <c r="J363" i="1"/>
  <c r="J362" i="1"/>
  <c r="L361" i="1"/>
  <c r="L360" i="1"/>
  <c r="J361" i="1"/>
  <c r="J360" i="1"/>
  <c r="L357" i="1"/>
  <c r="L356" i="1"/>
  <c r="J357" i="1"/>
  <c r="J356" i="1"/>
  <c r="L355" i="1"/>
  <c r="L354" i="1"/>
  <c r="J355" i="1"/>
  <c r="J354" i="1"/>
  <c r="L353" i="1"/>
  <c r="L352" i="1"/>
  <c r="J353" i="1"/>
  <c r="J352" i="1"/>
  <c r="L351" i="1"/>
  <c r="L350" i="1"/>
  <c r="J351" i="1"/>
  <c r="J350" i="1"/>
  <c r="L349" i="1"/>
  <c r="L348" i="1"/>
  <c r="J349" i="1"/>
  <c r="J348" i="1"/>
  <c r="L347" i="1"/>
  <c r="L346" i="1"/>
  <c r="J347" i="1"/>
  <c r="J346" i="1"/>
  <c r="L344" i="1"/>
  <c r="L343" i="1"/>
  <c r="J344" i="1"/>
  <c r="J343" i="1"/>
  <c r="L342" i="1"/>
  <c r="L341" i="1"/>
  <c r="J342" i="1"/>
  <c r="J341" i="1"/>
  <c r="L340" i="1"/>
  <c r="L339" i="1"/>
  <c r="J340" i="1"/>
  <c r="J339" i="1"/>
  <c r="L338" i="1"/>
  <c r="L337" i="1"/>
  <c r="J338" i="1"/>
  <c r="J337" i="1"/>
  <c r="L336" i="1"/>
  <c r="L335" i="1"/>
  <c r="J336" i="1"/>
  <c r="J335" i="1"/>
  <c r="L334" i="1"/>
  <c r="L333" i="1"/>
  <c r="J334" i="1"/>
  <c r="J333" i="1"/>
  <c r="L332" i="1"/>
  <c r="L331" i="1"/>
  <c r="J332" i="1"/>
  <c r="J331" i="1"/>
  <c r="L330" i="1"/>
  <c r="L329" i="1"/>
  <c r="J330" i="1"/>
  <c r="J329" i="1"/>
  <c r="L328" i="1"/>
  <c r="L327" i="1"/>
  <c r="J328" i="1"/>
  <c r="J327" i="1"/>
  <c r="L326" i="1"/>
  <c r="L325" i="1"/>
  <c r="J326" i="1"/>
  <c r="J325" i="1"/>
  <c r="L324" i="1"/>
  <c r="L323" i="1"/>
  <c r="J324" i="1"/>
  <c r="J323" i="1"/>
  <c r="L322" i="1"/>
  <c r="L321" i="1"/>
  <c r="J322" i="1"/>
  <c r="J321" i="1"/>
  <c r="L320" i="1"/>
  <c r="L319" i="1"/>
  <c r="J320" i="1"/>
  <c r="J319" i="1"/>
  <c r="L318" i="1"/>
  <c r="L317" i="1"/>
  <c r="J318" i="1"/>
  <c r="J317" i="1"/>
  <c r="L316" i="1"/>
  <c r="L315" i="1"/>
  <c r="J316" i="1"/>
  <c r="J315" i="1"/>
  <c r="L314" i="1"/>
  <c r="L313" i="1"/>
  <c r="J314" i="1"/>
  <c r="J313" i="1"/>
  <c r="L312" i="1"/>
  <c r="L311" i="1"/>
  <c r="J312" i="1"/>
  <c r="J311" i="1"/>
  <c r="L309" i="1"/>
  <c r="L308" i="1"/>
  <c r="J309" i="1"/>
  <c r="J308" i="1"/>
  <c r="L307" i="1"/>
  <c r="L306" i="1"/>
  <c r="J307" i="1"/>
  <c r="J306" i="1"/>
  <c r="L305" i="1"/>
  <c r="L304" i="1"/>
  <c r="J305" i="1"/>
  <c r="J304" i="1"/>
  <c r="L302" i="1"/>
  <c r="L301" i="1"/>
  <c r="J302" i="1"/>
  <c r="J301" i="1"/>
  <c r="L300" i="1"/>
  <c r="L299" i="1"/>
  <c r="J300" i="1"/>
  <c r="J299" i="1"/>
  <c r="L298" i="1"/>
  <c r="L297" i="1"/>
  <c r="J298" i="1"/>
  <c r="J297" i="1"/>
  <c r="L296" i="1"/>
  <c r="L295" i="1"/>
  <c r="J296" i="1"/>
  <c r="J295" i="1"/>
  <c r="L294" i="1"/>
  <c r="L293" i="1"/>
  <c r="J294" i="1"/>
  <c r="J293" i="1"/>
  <c r="L291" i="1"/>
  <c r="L290" i="1"/>
  <c r="J291" i="1"/>
  <c r="J290" i="1"/>
  <c r="L289" i="1"/>
  <c r="L288" i="1"/>
  <c r="J289" i="1"/>
  <c r="J288" i="1"/>
  <c r="L287" i="1"/>
  <c r="L286" i="1"/>
  <c r="J287" i="1"/>
  <c r="J286" i="1"/>
  <c r="L285" i="1"/>
  <c r="L284" i="1"/>
  <c r="J285" i="1"/>
  <c r="J284" i="1"/>
  <c r="L282" i="1"/>
  <c r="L281" i="1"/>
  <c r="J282" i="1"/>
  <c r="J281" i="1"/>
  <c r="L280" i="1"/>
  <c r="L279" i="1"/>
  <c r="J280" i="1"/>
  <c r="J279" i="1"/>
  <c r="L277" i="1"/>
  <c r="L276" i="1"/>
  <c r="J277" i="1"/>
  <c r="J276" i="1"/>
  <c r="L275" i="1"/>
  <c r="L274" i="1"/>
  <c r="J275" i="1"/>
  <c r="J274" i="1"/>
  <c r="L273" i="1"/>
  <c r="L272" i="1"/>
  <c r="J273" i="1"/>
  <c r="J272" i="1"/>
  <c r="L271" i="1"/>
  <c r="L270" i="1"/>
  <c r="J271" i="1"/>
  <c r="J270" i="1"/>
  <c r="L269" i="1"/>
  <c r="L268" i="1"/>
  <c r="J269" i="1"/>
  <c r="J268" i="1"/>
  <c r="L267" i="1"/>
  <c r="L266" i="1"/>
  <c r="J267" i="1"/>
  <c r="J266" i="1"/>
  <c r="L265" i="1"/>
  <c r="L264" i="1"/>
  <c r="J265" i="1"/>
  <c r="J264" i="1"/>
  <c r="L263" i="1"/>
  <c r="L262" i="1"/>
  <c r="J263" i="1"/>
  <c r="J262" i="1"/>
  <c r="L260" i="1"/>
  <c r="L259" i="1"/>
  <c r="J260" i="1"/>
  <c r="J259" i="1"/>
  <c r="L258" i="1"/>
  <c r="L257" i="1"/>
  <c r="J258" i="1"/>
  <c r="J257" i="1"/>
  <c r="L256" i="1"/>
  <c r="L255" i="1"/>
  <c r="J256" i="1"/>
  <c r="J255" i="1"/>
  <c r="L254" i="1"/>
  <c r="L253" i="1"/>
  <c r="J254" i="1"/>
  <c r="J253" i="1"/>
  <c r="L252" i="1"/>
  <c r="L251" i="1"/>
  <c r="J252" i="1"/>
  <c r="J251" i="1"/>
  <c r="L250" i="1"/>
  <c r="L249" i="1"/>
  <c r="J250" i="1"/>
  <c r="J249" i="1"/>
  <c r="L248" i="1"/>
  <c r="L247" i="1"/>
  <c r="J248" i="1"/>
  <c r="J247" i="1"/>
  <c r="L246" i="1"/>
  <c r="L245" i="1"/>
  <c r="J246" i="1"/>
  <c r="J245" i="1"/>
  <c r="L243" i="1"/>
  <c r="L242" i="1"/>
  <c r="J243" i="1"/>
  <c r="J242" i="1"/>
  <c r="L241" i="1"/>
  <c r="L240" i="1"/>
  <c r="J241" i="1"/>
  <c r="J240" i="1"/>
  <c r="L239" i="1"/>
  <c r="L238" i="1"/>
  <c r="J239" i="1"/>
  <c r="J238" i="1"/>
  <c r="L237" i="1"/>
  <c r="L236" i="1"/>
  <c r="J237" i="1"/>
  <c r="J236" i="1"/>
  <c r="L235" i="1"/>
  <c r="L234" i="1"/>
  <c r="J235" i="1"/>
  <c r="J234" i="1"/>
  <c r="L233" i="1"/>
  <c r="L232" i="1"/>
  <c r="J233" i="1"/>
  <c r="J232" i="1"/>
  <c r="L231" i="1"/>
  <c r="L230" i="1"/>
  <c r="J231" i="1"/>
  <c r="J230" i="1"/>
  <c r="L229" i="1"/>
  <c r="L228" i="1"/>
  <c r="J229" i="1"/>
  <c r="J228" i="1"/>
  <c r="L227" i="1"/>
  <c r="L226" i="1"/>
  <c r="J227" i="1"/>
  <c r="J226" i="1"/>
  <c r="L225" i="1"/>
  <c r="L224" i="1"/>
  <c r="J225" i="1"/>
  <c r="J224" i="1"/>
  <c r="L223" i="1"/>
  <c r="L222" i="1"/>
  <c r="J223" i="1"/>
  <c r="J222" i="1"/>
  <c r="L220" i="1"/>
  <c r="L219" i="1"/>
  <c r="J220" i="1"/>
  <c r="J219" i="1"/>
  <c r="L218" i="1"/>
  <c r="L217" i="1"/>
  <c r="J218" i="1"/>
  <c r="J217" i="1"/>
  <c r="L216" i="1"/>
  <c r="L215" i="1"/>
  <c r="J216" i="1"/>
  <c r="J215" i="1"/>
  <c r="L214" i="1"/>
  <c r="L213" i="1"/>
  <c r="J214" i="1"/>
  <c r="J213" i="1"/>
  <c r="L212" i="1"/>
  <c r="L211" i="1"/>
  <c r="J212" i="1"/>
  <c r="J211" i="1"/>
  <c r="L210" i="1"/>
  <c r="L209" i="1"/>
  <c r="J210" i="1"/>
  <c r="J209" i="1"/>
  <c r="L207" i="1"/>
  <c r="L206" i="1"/>
  <c r="J207" i="1"/>
  <c r="J206" i="1"/>
  <c r="L205" i="1"/>
  <c r="L204" i="1"/>
  <c r="J205" i="1"/>
  <c r="J204" i="1"/>
  <c r="L203" i="1"/>
  <c r="L202" i="1"/>
  <c r="J203" i="1"/>
  <c r="J202" i="1"/>
  <c r="L201" i="1"/>
  <c r="L200" i="1"/>
  <c r="J201" i="1"/>
  <c r="J200" i="1"/>
  <c r="L199" i="1"/>
  <c r="L198" i="1"/>
  <c r="J199" i="1"/>
  <c r="J198" i="1"/>
  <c r="L197" i="1"/>
  <c r="L196" i="1"/>
  <c r="J197" i="1"/>
  <c r="J196" i="1"/>
  <c r="L195" i="1"/>
  <c r="L194" i="1"/>
  <c r="J195" i="1"/>
  <c r="J194" i="1"/>
  <c r="L192" i="1"/>
  <c r="L191" i="1"/>
  <c r="J192" i="1"/>
  <c r="J191" i="1"/>
  <c r="L190" i="1"/>
  <c r="L189" i="1"/>
  <c r="J190" i="1"/>
  <c r="J189" i="1"/>
  <c r="L188" i="1"/>
  <c r="L187" i="1"/>
  <c r="J188" i="1"/>
  <c r="J187" i="1"/>
  <c r="L186" i="1"/>
  <c r="L185" i="1"/>
  <c r="J186" i="1"/>
  <c r="J185" i="1"/>
  <c r="L184" i="1"/>
  <c r="L183" i="1"/>
  <c r="J184" i="1"/>
  <c r="J183" i="1"/>
  <c r="L182" i="1"/>
  <c r="L181" i="1"/>
  <c r="J182" i="1"/>
  <c r="J181" i="1"/>
  <c r="L180" i="1"/>
  <c r="L179" i="1"/>
  <c r="J180" i="1"/>
  <c r="J179" i="1"/>
  <c r="L178" i="1"/>
  <c r="L177" i="1"/>
  <c r="J178" i="1"/>
  <c r="J177" i="1"/>
  <c r="L175" i="1"/>
  <c r="L174" i="1"/>
  <c r="J175" i="1"/>
  <c r="J174" i="1"/>
  <c r="L173" i="1"/>
  <c r="L172" i="1"/>
  <c r="J173" i="1"/>
  <c r="J172" i="1"/>
  <c r="L171" i="1"/>
  <c r="L170" i="1"/>
  <c r="J171" i="1"/>
  <c r="J170" i="1"/>
  <c r="L169" i="1"/>
  <c r="L168" i="1"/>
  <c r="J169" i="1"/>
  <c r="J168" i="1"/>
  <c r="L167" i="1"/>
  <c r="L166" i="1"/>
  <c r="J167" i="1"/>
  <c r="J166" i="1"/>
  <c r="L165" i="1"/>
  <c r="L164" i="1"/>
  <c r="J165" i="1"/>
  <c r="J164" i="1"/>
  <c r="L163" i="1"/>
  <c r="L162" i="1"/>
  <c r="J163" i="1"/>
  <c r="J162" i="1"/>
  <c r="L161" i="1"/>
  <c r="L160" i="1"/>
  <c r="J161" i="1"/>
  <c r="J160" i="1"/>
  <c r="L159" i="1"/>
  <c r="L158" i="1"/>
  <c r="J159" i="1"/>
  <c r="J158" i="1"/>
  <c r="L157" i="1"/>
  <c r="L156" i="1"/>
  <c r="J157" i="1"/>
  <c r="J156" i="1"/>
  <c r="L153" i="1"/>
  <c r="L152" i="1"/>
  <c r="J153" i="1"/>
  <c r="J152" i="1"/>
  <c r="L151" i="1"/>
  <c r="L150" i="1"/>
  <c r="J151" i="1"/>
  <c r="J150" i="1"/>
  <c r="L148" i="1"/>
  <c r="L147" i="1"/>
  <c r="J148" i="1"/>
  <c r="J147" i="1"/>
  <c r="L146" i="1"/>
  <c r="L145" i="1"/>
  <c r="J146" i="1"/>
  <c r="J145" i="1"/>
  <c r="L144" i="1"/>
  <c r="L143" i="1"/>
  <c r="J144" i="1"/>
  <c r="J143" i="1"/>
  <c r="L141" i="1"/>
  <c r="L140" i="1"/>
  <c r="J141" i="1"/>
  <c r="J140" i="1"/>
  <c r="L139" i="1"/>
  <c r="L138" i="1"/>
  <c r="J139" i="1"/>
  <c r="J138" i="1"/>
  <c r="L137" i="1"/>
  <c r="L136" i="1"/>
  <c r="J137" i="1"/>
  <c r="J136" i="1"/>
  <c r="L135" i="1"/>
  <c r="L134" i="1"/>
  <c r="J135" i="1"/>
  <c r="J134" i="1"/>
  <c r="L133" i="1"/>
  <c r="L132" i="1"/>
  <c r="J133" i="1"/>
  <c r="J132" i="1"/>
  <c r="L131" i="1"/>
  <c r="L130" i="1"/>
  <c r="J131" i="1"/>
  <c r="J130" i="1"/>
  <c r="L128" i="1"/>
  <c r="L127" i="1"/>
  <c r="J128" i="1"/>
  <c r="J127" i="1"/>
  <c r="L126" i="1"/>
  <c r="L125" i="1"/>
  <c r="J126" i="1"/>
  <c r="J125" i="1"/>
  <c r="L124" i="1"/>
  <c r="L123" i="1"/>
  <c r="J124" i="1"/>
  <c r="J123" i="1"/>
  <c r="L122" i="1"/>
  <c r="L121" i="1"/>
  <c r="J122" i="1"/>
  <c r="J121" i="1"/>
  <c r="L119" i="1"/>
  <c r="L118" i="1"/>
  <c r="J119" i="1"/>
  <c r="J118" i="1"/>
  <c r="L117" i="1"/>
  <c r="L116" i="1"/>
  <c r="J117" i="1"/>
  <c r="J116" i="1"/>
  <c r="L115" i="1"/>
  <c r="L114" i="1"/>
  <c r="J115" i="1"/>
  <c r="J114" i="1"/>
  <c r="L113" i="1"/>
  <c r="L112" i="1"/>
  <c r="J113" i="1"/>
  <c r="J112" i="1"/>
  <c r="L111" i="1"/>
  <c r="L110" i="1"/>
  <c r="J111" i="1"/>
  <c r="J110" i="1"/>
  <c r="L109" i="1"/>
  <c r="L108" i="1"/>
  <c r="J109" i="1"/>
  <c r="J108" i="1"/>
  <c r="L107" i="1"/>
  <c r="L106" i="1"/>
  <c r="J107" i="1"/>
  <c r="J106" i="1"/>
  <c r="L105" i="1"/>
  <c r="L104" i="1"/>
  <c r="J105" i="1"/>
  <c r="J104" i="1"/>
  <c r="L102" i="1"/>
  <c r="L101" i="1"/>
  <c r="J102" i="1"/>
  <c r="J101" i="1"/>
  <c r="L100" i="1"/>
  <c r="L99" i="1"/>
  <c r="J100" i="1"/>
  <c r="J99" i="1"/>
  <c r="L98" i="1"/>
  <c r="L97" i="1"/>
  <c r="J98" i="1"/>
  <c r="J97" i="1"/>
  <c r="L96" i="1"/>
  <c r="L95" i="1"/>
  <c r="J96" i="1"/>
  <c r="J95" i="1"/>
  <c r="L93" i="1"/>
  <c r="L92" i="1"/>
  <c r="J93" i="1"/>
  <c r="J92" i="1"/>
  <c r="L91" i="1"/>
  <c r="L90" i="1"/>
  <c r="J91" i="1"/>
  <c r="J90" i="1"/>
  <c r="L89" i="1"/>
  <c r="L88" i="1"/>
  <c r="J89" i="1"/>
  <c r="J88" i="1"/>
  <c r="L86" i="1"/>
  <c r="L85" i="1"/>
  <c r="J86" i="1"/>
  <c r="J85" i="1"/>
  <c r="L84" i="1"/>
  <c r="L83" i="1"/>
  <c r="J84" i="1"/>
  <c r="J83" i="1"/>
  <c r="L82" i="1"/>
  <c r="L81" i="1"/>
  <c r="J82" i="1"/>
  <c r="J81" i="1"/>
  <c r="L80" i="1"/>
  <c r="L79" i="1"/>
  <c r="J80" i="1"/>
  <c r="J79" i="1"/>
  <c r="L78" i="1"/>
  <c r="L77" i="1"/>
  <c r="J78" i="1"/>
  <c r="J77" i="1"/>
  <c r="L76" i="1"/>
  <c r="L75" i="1"/>
  <c r="J76" i="1"/>
  <c r="J75" i="1"/>
  <c r="L74" i="1"/>
  <c r="L73" i="1"/>
  <c r="J74" i="1"/>
  <c r="J73" i="1"/>
  <c r="L72" i="1"/>
  <c r="L71" i="1"/>
  <c r="J72" i="1"/>
  <c r="J71" i="1"/>
  <c r="L70" i="1"/>
  <c r="L69" i="1"/>
  <c r="J70" i="1"/>
  <c r="J69" i="1"/>
  <c r="L67" i="1"/>
  <c r="L66" i="1"/>
  <c r="J67" i="1"/>
  <c r="J66" i="1"/>
  <c r="L65" i="1"/>
  <c r="L64" i="1"/>
  <c r="J65" i="1"/>
  <c r="J64" i="1"/>
  <c r="L63" i="1"/>
  <c r="L62" i="1"/>
  <c r="J63" i="1"/>
  <c r="J62" i="1"/>
  <c r="L61" i="1"/>
  <c r="L60" i="1"/>
  <c r="J61" i="1"/>
  <c r="J60" i="1"/>
  <c r="L59" i="1"/>
  <c r="L58" i="1"/>
  <c r="J59" i="1"/>
  <c r="J58" i="1"/>
  <c r="L57" i="1"/>
  <c r="L56" i="1"/>
  <c r="J57" i="1"/>
  <c r="J56" i="1"/>
  <c r="L55" i="1"/>
  <c r="L54" i="1"/>
  <c r="J55" i="1"/>
  <c r="J54" i="1"/>
  <c r="L53" i="1"/>
  <c r="L52" i="1"/>
  <c r="J53" i="1"/>
  <c r="J52" i="1"/>
  <c r="L51" i="1"/>
  <c r="L50" i="1"/>
  <c r="J51" i="1"/>
  <c r="J50" i="1"/>
  <c r="L48" i="1"/>
  <c r="L47" i="1"/>
  <c r="J48" i="1"/>
  <c r="J47" i="1"/>
  <c r="L46" i="1"/>
  <c r="L45" i="1"/>
  <c r="J46" i="1"/>
  <c r="J45" i="1"/>
  <c r="L44" i="1"/>
  <c r="L43" i="1"/>
  <c r="J44" i="1"/>
  <c r="J43" i="1"/>
  <c r="L42" i="1"/>
  <c r="L41" i="1"/>
  <c r="J42" i="1"/>
  <c r="J41" i="1"/>
  <c r="L40" i="1"/>
  <c r="L39" i="1"/>
  <c r="J40" i="1"/>
  <c r="J39" i="1"/>
  <c r="L37" i="1"/>
  <c r="L36" i="1"/>
  <c r="J37" i="1"/>
  <c r="J36" i="1"/>
  <c r="L35" i="1"/>
  <c r="L34" i="1"/>
  <c r="J35" i="1"/>
  <c r="J34" i="1"/>
  <c r="L33" i="1"/>
  <c r="L32" i="1"/>
  <c r="J33" i="1"/>
  <c r="J32" i="1"/>
  <c r="L31" i="1"/>
  <c r="L30" i="1"/>
  <c r="J31" i="1"/>
  <c r="J30" i="1"/>
  <c r="L29" i="1"/>
  <c r="L28" i="1"/>
  <c r="J29" i="1"/>
  <c r="J28" i="1"/>
  <c r="L27" i="1"/>
  <c r="L26" i="1"/>
  <c r="J27" i="1"/>
  <c r="J26" i="1"/>
  <c r="L25" i="1"/>
  <c r="L24" i="1"/>
  <c r="J25" i="1"/>
  <c r="J24" i="1"/>
  <c r="L23" i="1"/>
  <c r="L22" i="1"/>
  <c r="J23" i="1"/>
  <c r="J22" i="1"/>
  <c r="L21" i="1"/>
  <c r="L20" i="1"/>
  <c r="J21" i="1"/>
  <c r="J20" i="1"/>
  <c r="L19" i="1"/>
  <c r="L18" i="1"/>
  <c r="J19" i="1"/>
  <c r="J18" i="1"/>
  <c r="L17" i="1"/>
  <c r="L16" i="1"/>
  <c r="J17" i="1"/>
  <c r="J16" i="1"/>
  <c r="L15" i="1"/>
  <c r="L14" i="1"/>
  <c r="J15" i="1"/>
  <c r="J14" i="1"/>
  <c r="L13" i="1"/>
  <c r="L12" i="1"/>
  <c r="J13" i="1"/>
  <c r="J12" i="1"/>
</calcChain>
</file>

<file path=xl/sharedStrings.xml><?xml version="1.0" encoding="utf-8"?>
<sst xmlns="http://schemas.openxmlformats.org/spreadsheetml/2006/main" count="1109" uniqueCount="415">
  <si>
    <t>Менеджер</t>
  </si>
  <si>
    <t>Курс доллар</t>
  </si>
  <si>
    <t>Курс евро</t>
  </si>
  <si>
    <t>Киевстар
МТС</t>
  </si>
  <si>
    <t>Цены указаны на</t>
  </si>
  <si>
    <t>28.02.18</t>
  </si>
  <si>
    <t>Курс доллара</t>
  </si>
  <si>
    <t>E-mail</t>
  </si>
  <si>
    <t>Cайт</t>
  </si>
  <si>
    <t>Изображение</t>
  </si>
  <si>
    <t>Название Бренда</t>
  </si>
  <si>
    <t>Артикул</t>
  </si>
  <si>
    <t>Описание</t>
  </si>
  <si>
    <t>Вес бухты кг.</t>
  </si>
  <si>
    <t>Диаметр</t>
  </si>
  <si>
    <t>Длина м.</t>
  </si>
  <si>
    <t>Остаток</t>
  </si>
  <si>
    <t>Оптовая</t>
  </si>
  <si>
    <t>Розничная</t>
  </si>
  <si>
    <t>Группа товаров :     Шланги</t>
  </si>
  <si>
    <t>Группа товаров :       EVCI  PLASTIK шланги</t>
  </si>
  <si>
    <t>Группа товаров :      Метеор</t>
  </si>
  <si>
    <t>EVCI PLASTIK</t>
  </si>
  <si>
    <t>MT 1/2 100</t>
  </si>
  <si>
    <t>1/2 Шланг Метеор 100м</t>
  </si>
  <si>
    <t>Есть</t>
  </si>
  <si>
    <t>USD</t>
  </si>
  <si>
    <t>MT 3/4 100</t>
  </si>
  <si>
    <t>3/4 Шланг Метеор 100м</t>
  </si>
  <si>
    <t>Новая позиция</t>
  </si>
  <si>
    <t>MT 1 25</t>
  </si>
  <si>
    <t>1д. Шланг Метеор *25м*</t>
  </si>
  <si>
    <t>MT 1 50</t>
  </si>
  <si>
    <t>1д. Шланг Метеор 50м</t>
  </si>
  <si>
    <t>MT 1 1/4 25</t>
  </si>
  <si>
    <t>1,1/4д. Шланг Метеор *25м*</t>
  </si>
  <si>
    <t>MT 1 1/4 50</t>
  </si>
  <si>
    <t>1,1/4д. Шланг Метеор 50м</t>
  </si>
  <si>
    <t>MT 1 1/2 25</t>
  </si>
  <si>
    <t>1,1/2д. Шланг Метеор *25м*</t>
  </si>
  <si>
    <t>MT 1 1/2 50</t>
  </si>
  <si>
    <t>1,1/2д. Шланг Метеор 50м</t>
  </si>
  <si>
    <t>Заканчивается</t>
  </si>
  <si>
    <t>MT 3/4 20</t>
  </si>
  <si>
    <t>3/4 Шланг Метеор  20м</t>
  </si>
  <si>
    <t>MT 3/4 30</t>
  </si>
  <si>
    <t>3/4 Шланг Метеор  30м</t>
  </si>
  <si>
    <t>MT 3/4 50</t>
  </si>
  <si>
    <t>3/4 Шланг Метеор  50м</t>
  </si>
  <si>
    <t>EN 3/4 50</t>
  </si>
  <si>
    <t>3/4 Шланг ENDER  -50м-</t>
  </si>
  <si>
    <t>Нет</t>
  </si>
  <si>
    <t>EN 3/4 100</t>
  </si>
  <si>
    <t>3/4 Шланг ENDER 100м</t>
  </si>
  <si>
    <t>Группа товаров :      Цветной</t>
  </si>
  <si>
    <t>CV 1/2 100</t>
  </si>
  <si>
    <t>1/2 Шланг Цветной 100м</t>
  </si>
  <si>
    <t>CV 3/4 100</t>
  </si>
  <si>
    <t>3/4 Шланг Цветной 100м</t>
  </si>
  <si>
    <t>CV 1 50</t>
  </si>
  <si>
    <t>1д. Шланг Цветной 50м</t>
  </si>
  <si>
    <t>CV 1 1/4 50</t>
  </si>
  <si>
    <t>1,1/4д. Шланг Цветной 50м</t>
  </si>
  <si>
    <t>CV 1 1/2 50</t>
  </si>
  <si>
    <t>1,1/2д. Шланг Цветной  50м</t>
  </si>
  <si>
    <t>Группа товаров :     "Экспорт" для высокого давления</t>
  </si>
  <si>
    <t>VD 6 50</t>
  </si>
  <si>
    <t>6мм. Шланг "Экспорт" рабочее давление до 8bar (50м)</t>
  </si>
  <si>
    <t>VD 8 50</t>
  </si>
  <si>
    <t>8мм. Шланг "Экспорт" рабочее давление до 8bar (50м)</t>
  </si>
  <si>
    <t>VD 10 50</t>
  </si>
  <si>
    <t>10мм. Шланг "Экспорт" рабочее давление до 8bar (50м)</t>
  </si>
  <si>
    <t>VD 12 50</t>
  </si>
  <si>
    <t>1/2 Шланг "Экспорт" рабочее давление до 6bar (50м)</t>
  </si>
  <si>
    <t>VD 16 50</t>
  </si>
  <si>
    <t>5/8 Шланг "Экспорт" рабочее давление до 6bar (50м)</t>
  </si>
  <si>
    <t>VD 19 50</t>
  </si>
  <si>
    <t>3/4 Шланг "Экспорт" рабочее давление до 6bar (50м)</t>
  </si>
  <si>
    <t>VD 25 50</t>
  </si>
  <si>
    <t>1д. Шланг "Экспорт" рабочее давление до 6bar (50м)</t>
  </si>
  <si>
    <t>VD 32 25</t>
  </si>
  <si>
    <t>1,1/4д. Шланг "Экспорт" рабочее давление до 6bar *(25м)*</t>
  </si>
  <si>
    <t>VD 32 50</t>
  </si>
  <si>
    <t>1,1/4д. Шланг "Экспорт" рабочее давление до 6bar (50м)</t>
  </si>
  <si>
    <t>Группа товаров :     Гофра</t>
  </si>
  <si>
    <t>GF 25 25</t>
  </si>
  <si>
    <t>25мм Гофра сантехническая (25м)</t>
  </si>
  <si>
    <t>GF 32 25</t>
  </si>
  <si>
    <t>32мм Гофра сантехническая (25м)</t>
  </si>
  <si>
    <t>GF 40 25</t>
  </si>
  <si>
    <t>40мм Гофра сантехническая (25м)</t>
  </si>
  <si>
    <t>GF 50 25</t>
  </si>
  <si>
    <t>50мм Гофра сантехническая (25м)</t>
  </si>
  <si>
    <t>GFVK 40 25</t>
  </si>
  <si>
    <t>40мм Гофра Вакуумная Желтая (25м)</t>
  </si>
  <si>
    <t>GFVK 75 25</t>
  </si>
  <si>
    <t>75мм Гофра Вакуумная Желтая (25м)</t>
  </si>
  <si>
    <t>GFVK 100 25</t>
  </si>
  <si>
    <t>100мм Гофра Вакуумная Желтая (25м)</t>
  </si>
  <si>
    <t>GFV 40 25</t>
  </si>
  <si>
    <t>40мм Гофра Воздушная Серая (25м)</t>
  </si>
  <si>
    <t>GFN 50 25</t>
  </si>
  <si>
    <t>50мм Гофра Напорная Красная (25м)</t>
  </si>
  <si>
    <t>Группа товаров :     Зебра</t>
  </si>
  <si>
    <t>ZB 3/4 20</t>
  </si>
  <si>
    <t>3/4 Шланг Зебра  20м</t>
  </si>
  <si>
    <t>ZB 3/4 30</t>
  </si>
  <si>
    <t>3/4 Шланг Зебра  30м</t>
  </si>
  <si>
    <t>ZB 3/4 50</t>
  </si>
  <si>
    <t>3/4 Шланг Зебра  50м</t>
  </si>
  <si>
    <t>Группа товаров :     Шланг радуга SUNNY</t>
  </si>
  <si>
    <t>SN 3/4 20</t>
  </si>
  <si>
    <t>3/4 Шланг Радуга "Sunny" желтая  20м</t>
  </si>
  <si>
    <t>SN 3/4 30</t>
  </si>
  <si>
    <t>3/4 Шланг Радуга "Sunny" желтая  30м</t>
  </si>
  <si>
    <t>SN 3/4 50</t>
  </si>
  <si>
    <t>3/4 Шланг Радуга "Sunny" желтая  50м</t>
  </si>
  <si>
    <t>SN 1 50</t>
  </si>
  <si>
    <t>1д. Шланг Радуга "Sunny" желтая  50м</t>
  </si>
  <si>
    <t>Группа товаров :    Софт Cиликоновый</t>
  </si>
  <si>
    <t>SF-1/2 50</t>
  </si>
  <si>
    <t>1/2 Шланг  Софт (- кг) 50м</t>
  </si>
  <si>
    <t>SF+1/2 50</t>
  </si>
  <si>
    <t>1/2 Шланг Софт (+ кг) 50м</t>
  </si>
  <si>
    <t>SF-3/4 50</t>
  </si>
  <si>
    <t>3/4 Шланг Софт (- кг) 50м</t>
  </si>
  <si>
    <t>SF+3/4 50</t>
  </si>
  <si>
    <t>3/4 Шланг Софт (+ кг) 50м</t>
  </si>
  <si>
    <t>SFN3/4 50</t>
  </si>
  <si>
    <t>3/4 Шланг Софт (армированный) 50м</t>
  </si>
  <si>
    <t>SE-3/4 20</t>
  </si>
  <si>
    <t>3/4 Шланг Софт Export (Красный) 20м</t>
  </si>
  <si>
    <t>SE-3/4 30</t>
  </si>
  <si>
    <t>3/4 Шланг Софт Export (Красный) 30м</t>
  </si>
  <si>
    <t>SE-3/4 50</t>
  </si>
  <si>
    <t>3/4 Шланг Софт Export (Красный) 50м</t>
  </si>
  <si>
    <t>Группа товаров :    Флория</t>
  </si>
  <si>
    <t>FL 3/4 20</t>
  </si>
  <si>
    <t>3/4  Шланг Флория  20м</t>
  </si>
  <si>
    <t>FL 3/4 30</t>
  </si>
  <si>
    <t>3/4  Шланг Флория  30м</t>
  </si>
  <si>
    <t>FL 3/4 50</t>
  </si>
  <si>
    <t>3/4  Шланг Флория  50м</t>
  </si>
  <si>
    <t>FL 1D 50</t>
  </si>
  <si>
    <t>1д.  Шланг Флория  50м</t>
  </si>
  <si>
    <t>Группа товаров :    Шланг  GARDEN  HOSE</t>
  </si>
  <si>
    <t>3/4 G H 20</t>
  </si>
  <si>
    <t>3/4 Шланг Garden Hose Tropik (желтосиний) 20м</t>
  </si>
  <si>
    <t>3/4 G H 30</t>
  </si>
  <si>
    <t>3/4 Шланг Garden Hose Tropik (желтосиний) 30м</t>
  </si>
  <si>
    <t>3/4 G H 50</t>
  </si>
  <si>
    <t>3/4 Шланг Garden Hose Tropik (желтосиний) 50м</t>
  </si>
  <si>
    <t>3/4 GHR 20</t>
  </si>
  <si>
    <t>3/4 Шланг Garden Hose Dominik (Красный) 20м</t>
  </si>
  <si>
    <t>3/4 GHR 30</t>
  </si>
  <si>
    <t>3/4 Шланг Garden Hose Dominik (Красный) 30м</t>
  </si>
  <si>
    <t>3/4 GHR 50</t>
  </si>
  <si>
    <t>3/4 Шланг Garden Hose Dominik (Красный) 50м</t>
  </si>
  <si>
    <t>Группа товаров :    Шланг BELLA</t>
  </si>
  <si>
    <t>BLL 3/4 20</t>
  </si>
  <si>
    <t>3/4 Шланг Bella Classik 20м</t>
  </si>
  <si>
    <t>BLL 3/4 30</t>
  </si>
  <si>
    <t>3/4 Шланг Bella Classik 30м</t>
  </si>
  <si>
    <t>BLL 3/4 50</t>
  </si>
  <si>
    <t>3/4 Шланг Bella Classik 50м</t>
  </si>
  <si>
    <t>Группа товаров :   Газовый шланг</t>
  </si>
  <si>
    <t>GW 9</t>
  </si>
  <si>
    <t>Шланг 9мм Газовый (белый evci plastik)  50м</t>
  </si>
  <si>
    <t>CellFast</t>
  </si>
  <si>
    <t>GO 9</t>
  </si>
  <si>
    <t>Шланг 9мм Газовый (оранжевый )  50м</t>
  </si>
  <si>
    <t>Группа товаров :      TECNOTUBI  шланг Италия</t>
  </si>
  <si>
    <t>Группа товаров :         Euro GUIP GREEN</t>
  </si>
  <si>
    <t>TECNOTUBI</t>
  </si>
  <si>
    <t>EGG 1/2 20</t>
  </si>
  <si>
    <t>1/2  Шланг Euro GUIP GREEN  20м</t>
  </si>
  <si>
    <t>EUR</t>
  </si>
  <si>
    <t>EGG 1/2 25</t>
  </si>
  <si>
    <t>1/2  Шланг Euro GUIP GREEN  25м</t>
  </si>
  <si>
    <t>EGG 1/2 50</t>
  </si>
  <si>
    <t>1/2  Шланг Euro GUIP GREEN  50м</t>
  </si>
  <si>
    <t>EGG 5/8 25</t>
  </si>
  <si>
    <t>5/8  Шланг Euro GUIP GREEN  25м</t>
  </si>
  <si>
    <t>EGG 5/8 50</t>
  </si>
  <si>
    <t>5/8  Шланг Euro GUIP GREEN  50м</t>
  </si>
  <si>
    <t>EGG 3/4 20</t>
  </si>
  <si>
    <t>3/4  Шланг Euro GUIP GREEN  20м</t>
  </si>
  <si>
    <t>EGG 3/4 30</t>
  </si>
  <si>
    <t>3/4  Шланг Euro GUIP GREEN  30м</t>
  </si>
  <si>
    <t>EGG 3/4 50</t>
  </si>
  <si>
    <t>3/4  Шланг Euro GUIP GREEN  50м</t>
  </si>
  <si>
    <t>EGG 1 25</t>
  </si>
  <si>
    <t>1д.  Шланг Euro GUIP GREEN  25м</t>
  </si>
  <si>
    <t>EGG 1 50</t>
  </si>
  <si>
    <t>1д.  Шланг Euro GUIP GREEN  50м</t>
  </si>
  <si>
    <t>Группа товаров :        Euro GUIP YELLOW</t>
  </si>
  <si>
    <t>EGY 1/2 20</t>
  </si>
  <si>
    <t>1/2  Шланг Euro GUIP YELLOW  20м</t>
  </si>
  <si>
    <t>EGY 1/2 25</t>
  </si>
  <si>
    <t>1/2  Шланг Euro GUIP YELLOW  25м</t>
  </si>
  <si>
    <t>EGY 1/2 50</t>
  </si>
  <si>
    <t>1/2  Шланг Euro GUIP YELLOW  50м</t>
  </si>
  <si>
    <t>EGY 5/8 25</t>
  </si>
  <si>
    <t>5/8  Шланг Euro GUIP YELLOW  25м</t>
  </si>
  <si>
    <t>EGY 5/8 20</t>
  </si>
  <si>
    <t>5/8  Шланг Euro GUIP YELLOW  50м</t>
  </si>
  <si>
    <t>EGY 3/4 20</t>
  </si>
  <si>
    <t>3/4  Шланг Euro GUIP YELLOW  20м</t>
  </si>
  <si>
    <t>EGY 3/4 30</t>
  </si>
  <si>
    <t>3/4  Шланг Euro GUIP YELLOW  30м</t>
  </si>
  <si>
    <t>EGY 3/4 50</t>
  </si>
  <si>
    <t>3/4 Шланг  Euro GUIP YELLOW  50м</t>
  </si>
  <si>
    <t>Группа товаров :       Euro GUIP BLACK</t>
  </si>
  <si>
    <t>EGB 1/2 20</t>
  </si>
  <si>
    <t>1/2  Шланг Euro GUIP BLACK  20м</t>
  </si>
  <si>
    <t>EGB 1/2 25</t>
  </si>
  <si>
    <t>1/2  Шланг Euro GUIP BLACK  25м</t>
  </si>
  <si>
    <t>EGB 1/2 50</t>
  </si>
  <si>
    <t>1/2  Шланг Euro GUIP BLACK  50м</t>
  </si>
  <si>
    <t>EGB 3/4 25</t>
  </si>
  <si>
    <t>3/4  Шланг Euro GUIP BLACK  25м</t>
  </si>
  <si>
    <t>EGB 3/4 50</t>
  </si>
  <si>
    <t>3/4  Шланг Euro GUIP BLACK  50м</t>
  </si>
  <si>
    <t>EGB 1 25</t>
  </si>
  <si>
    <t>1д.  Шланг Euro GUIP BLACK  25м</t>
  </si>
  <si>
    <t>EGB 1 50</t>
  </si>
  <si>
    <t>1д.  Шланг Euro GUIP BLACK  50м</t>
  </si>
  <si>
    <t>Группа товаров :      OCEAN  синий</t>
  </si>
  <si>
    <t>OC 1/2 20</t>
  </si>
  <si>
    <t>1/2  Шланг OCEAN   20м</t>
  </si>
  <si>
    <t>OC 1/2 30</t>
  </si>
  <si>
    <t>1/2  Шланг OCEAN   30м</t>
  </si>
  <si>
    <t>OC 1/2 50</t>
  </si>
  <si>
    <t>1/2  Шланг OCEAN   50м</t>
  </si>
  <si>
    <t>OC 3/4 20</t>
  </si>
  <si>
    <t>3/4  Шланг OCEAN   20м</t>
  </si>
  <si>
    <t>OC 3/4 30</t>
  </si>
  <si>
    <t>3/4  Шланг OCEAN   30м</t>
  </si>
  <si>
    <t>OC 3/4 50</t>
  </si>
  <si>
    <t>3/4  Шланг OCEAN   50м</t>
  </si>
  <si>
    <t>Группа товаров :      ORANGE professionalООООО</t>
  </si>
  <si>
    <t>OR 1/2 15</t>
  </si>
  <si>
    <t>1/2  Шланг ORANGE professional  15м</t>
  </si>
  <si>
    <t>OR 1/2 25</t>
  </si>
  <si>
    <t>1/2  Шланг ORANGE professional  25м</t>
  </si>
  <si>
    <t>OR 1/2 50</t>
  </si>
  <si>
    <t>1/2  Шланг ORANGE professional  50м</t>
  </si>
  <si>
    <t>OR 5/8 15</t>
  </si>
  <si>
    <t>5/8  Шланг ORANGE professional  15м</t>
  </si>
  <si>
    <t>OR 5/8 25</t>
  </si>
  <si>
    <t>5/8  Шланг ORANGE professional  25м</t>
  </si>
  <si>
    <t>OR 5/8 50</t>
  </si>
  <si>
    <t>5/8  Шланг ORANGE professional  50м</t>
  </si>
  <si>
    <t>OR 3/4 15</t>
  </si>
  <si>
    <t>3/4  Шланг ORANGE professional  15м</t>
  </si>
  <si>
    <t>OR 3/4 25</t>
  </si>
  <si>
    <t>3/4  Шланг ORANGE professional  25м</t>
  </si>
  <si>
    <t>OR 3/4 50</t>
  </si>
  <si>
    <t>3/4  Шланг ORANGE professional  50м</t>
  </si>
  <si>
    <t>OR 1 25</t>
  </si>
  <si>
    <t>1д.  Шланг ORANGE professional  25м</t>
  </si>
  <si>
    <t>OR 1 50</t>
  </si>
  <si>
    <t>1д.  Шланг ORANGE professional  50м</t>
  </si>
  <si>
    <t>Группа товаров :     ECO TEX</t>
  </si>
  <si>
    <t>ET 1/2 15</t>
  </si>
  <si>
    <t>1/2  Шланг ECO TEX  15м</t>
  </si>
  <si>
    <t>ET 1/2 25</t>
  </si>
  <si>
    <t>1/2  Шланг ECO TEX  25м</t>
  </si>
  <si>
    <t>ET 1/2 50</t>
  </si>
  <si>
    <t>1/2  Шланг ECO TEX  50м</t>
  </si>
  <si>
    <t>ET 5/8 25</t>
  </si>
  <si>
    <t>5/8  Шланг ECO TEX  25м</t>
  </si>
  <si>
    <t>ET 5/8 50</t>
  </si>
  <si>
    <t>5/8  Шланг ECO TEX  50м</t>
  </si>
  <si>
    <t>ET 3/4 15</t>
  </si>
  <si>
    <t>3/4  Шланг ECO TEX  15м</t>
  </si>
  <si>
    <t>ET 3/4 25</t>
  </si>
  <si>
    <t>3/4  Шланг ECO TEX  25м</t>
  </si>
  <si>
    <t>ET 3/4 50</t>
  </si>
  <si>
    <t>3/4  Шланг ECO TEX  50м</t>
  </si>
  <si>
    <t>Группа товаров :     RETIN Profi</t>
  </si>
  <si>
    <t>RT 1/2 15</t>
  </si>
  <si>
    <t>1/2  Шланг RETIN Profi  15м</t>
  </si>
  <si>
    <t>RT 1/2 25</t>
  </si>
  <si>
    <t>1/2  Шланг RETIN Profi  25м</t>
  </si>
  <si>
    <t>RT 1/2 50</t>
  </si>
  <si>
    <t>1/2  Шланг RETIN Profi  50м</t>
  </si>
  <si>
    <t>RT 5/8 25</t>
  </si>
  <si>
    <t>5/8  Шланг RETIN Profi  25м</t>
  </si>
  <si>
    <t>RT 5/8 50</t>
  </si>
  <si>
    <t>5/8  Шланг RETIN Profi  50м</t>
  </si>
  <si>
    <t>RT 3/4 15</t>
  </si>
  <si>
    <t>3/4  Шланг RETIN Profi  15м</t>
  </si>
  <si>
    <t>RT 3/4 25</t>
  </si>
  <si>
    <t>3/4  Шланг RETIN Profi  25м</t>
  </si>
  <si>
    <t>RT 3/4 50</t>
  </si>
  <si>
    <t>3/4  Шланг RETIN Profi  50м</t>
  </si>
  <si>
    <t>Группа товаров :     Worker</t>
  </si>
  <si>
    <t>WR 3/4 25</t>
  </si>
  <si>
    <t>3/4 Шланг WORKER 25м</t>
  </si>
  <si>
    <t>WR 3/4 50</t>
  </si>
  <si>
    <t>3/4 Шланг WORKER 50м</t>
  </si>
  <si>
    <t>Группа товаров :    TRICOLUX</t>
  </si>
  <si>
    <t>TC 1/2 25</t>
  </si>
  <si>
    <t>1/2  Шланг TRICOLUX  25м</t>
  </si>
  <si>
    <t>TC 1/2 50</t>
  </si>
  <si>
    <t>1/2  Шланг TRICOLUX  50м</t>
  </si>
  <si>
    <t>TC 3/4 25</t>
  </si>
  <si>
    <t>3/4  Шланг TRICOLUX  25м</t>
  </si>
  <si>
    <t>TC 3/4 50</t>
  </si>
  <si>
    <t>3/4  Шланг TRICOLUX  50м</t>
  </si>
  <si>
    <t>Группа товаров :   CRISTALL TEX</t>
  </si>
  <si>
    <t>CT 8</t>
  </si>
  <si>
    <t>8*14 Шланг Cristall Tex (100м)</t>
  </si>
  <si>
    <t>CT 10</t>
  </si>
  <si>
    <t>10*16 Шланг Cristall Tex (50м)</t>
  </si>
  <si>
    <t>CT 12</t>
  </si>
  <si>
    <t>12*18 Шланг Cristall Tex (50м)</t>
  </si>
  <si>
    <t>CT 15</t>
  </si>
  <si>
    <t>15*21 Шланг Cristall Tex (50м)</t>
  </si>
  <si>
    <t>CT 19</t>
  </si>
  <si>
    <t>19*26 Шланг Cristall Tex (50м)</t>
  </si>
  <si>
    <t>Группа товаров :   Sardinia, Cosmos, Winner</t>
  </si>
  <si>
    <t>CS 3/4 25</t>
  </si>
  <si>
    <t>3/4 Шланг Cosmos  25м</t>
  </si>
  <si>
    <t>SR 3/4 50</t>
  </si>
  <si>
    <t>3/4 Шланг SARDINIA 50м</t>
  </si>
  <si>
    <t>WN 1/2 50</t>
  </si>
  <si>
    <t>1/2  Шланг WINNER   50м</t>
  </si>
  <si>
    <t>Группа товаров :     П.В.Х. SYMMER</t>
  </si>
  <si>
    <t>ANG 18</t>
  </si>
  <si>
    <t>18*24 ПВХ   Гелевый Plus  100м</t>
  </si>
  <si>
    <t>SYMMER</t>
  </si>
  <si>
    <t>PVH 13</t>
  </si>
  <si>
    <t>13*3 мм Шланг тосольный Symmer  50м</t>
  </si>
  <si>
    <t>грн</t>
  </si>
  <si>
    <t>PVH 3</t>
  </si>
  <si>
    <t>3 * 0,7  ПВХ пищевой Symmer  200м</t>
  </si>
  <si>
    <t>PVH 4</t>
  </si>
  <si>
    <t>4 * 0,7  ПВХ пищевой Symmer  200м</t>
  </si>
  <si>
    <t>PVH 5</t>
  </si>
  <si>
    <t>5*1 ПВХ пищевой Symmer  100м</t>
  </si>
  <si>
    <t>PVH 6</t>
  </si>
  <si>
    <t>6*1 ПВХ пищевой Symmer  100м</t>
  </si>
  <si>
    <t>PVH 7</t>
  </si>
  <si>
    <t>7*1 ПВХ пищевой Symmer  100м</t>
  </si>
  <si>
    <t>PVH 8 PS</t>
  </si>
  <si>
    <t>8*1 ПВХ Presto-PS пищевой  100м</t>
  </si>
  <si>
    <t>PVH 8</t>
  </si>
  <si>
    <t>8*1 ПВХ пищевой Symmer  100м</t>
  </si>
  <si>
    <t>PVH 10</t>
  </si>
  <si>
    <t>10*1,3 ПВХ пищевой Symmer  100м</t>
  </si>
  <si>
    <t>PVH 12</t>
  </si>
  <si>
    <t>12*1,5 ПВХ пищевой Symmer  100м</t>
  </si>
  <si>
    <t>PVH 14</t>
  </si>
  <si>
    <t>14*1,5 ПВХ пищевой Symmer  50м</t>
  </si>
  <si>
    <t>PVH 16</t>
  </si>
  <si>
    <t>16*2 ПВХ пищевой Symmer  50м</t>
  </si>
  <si>
    <t>PVH 18</t>
  </si>
  <si>
    <t>18*2 ПВХ пищевой Symmer  50м</t>
  </si>
  <si>
    <t>PVH 20</t>
  </si>
  <si>
    <t>20*2 ПВХ пищевой Symmer  50м</t>
  </si>
  <si>
    <t>PVH 22</t>
  </si>
  <si>
    <t>22*2,5 ПВХ пищевой Symmer  50м</t>
  </si>
  <si>
    <t>PVH 25</t>
  </si>
  <si>
    <t>25*3 ПВХ пищевой Symmer  50м</t>
  </si>
  <si>
    <t>Группа товаров :     П.В.Х. SYMMER  +++</t>
  </si>
  <si>
    <t>PVH 8*3*50</t>
  </si>
  <si>
    <t>8*3 +++ ПВХ Пищевой Symmer  50м</t>
  </si>
  <si>
    <t>PVH 8*3</t>
  </si>
  <si>
    <t>8*3 +++ ПВХ Пищевой Symmer  100м</t>
  </si>
  <si>
    <t>PVH 10*3*50</t>
  </si>
  <si>
    <t>10*3 +++ ПВХ Пищевой Symmer  50м</t>
  </si>
  <si>
    <t>PVH 16*3</t>
  </si>
  <si>
    <t>16*3 +++ ПВХ Пищевой Symmer  50м</t>
  </si>
  <si>
    <t>PVH 16*2AR</t>
  </si>
  <si>
    <t>16*2 ПВХ-АН (армированный) Symmer  50м</t>
  </si>
  <si>
    <t>PVH 18*2.5AR</t>
  </si>
  <si>
    <t>18*2.5 ПВХ-АН (армированный) Symmer  50м</t>
  </si>
  <si>
    <t>Группа товаров :    CELLFAST шланги</t>
  </si>
  <si>
    <t>Группа товаров :   Green</t>
  </si>
  <si>
    <t>GR 1/2 25</t>
  </si>
  <si>
    <t>1/2 Шланг Green  Cellfast 25м</t>
  </si>
  <si>
    <t>GR 1/2 50</t>
  </si>
  <si>
    <t>1/2 Шланг Green  Cellfast 50м</t>
  </si>
  <si>
    <t>GR 5/8 25</t>
  </si>
  <si>
    <t>5/8 Шланг Green  Cellfast 25м</t>
  </si>
  <si>
    <t>GR 5/8 50</t>
  </si>
  <si>
    <t>5/8 Шланг Green  Cellfast 50м</t>
  </si>
  <si>
    <t>GR 3/4 25</t>
  </si>
  <si>
    <t>3/4 Шланг Green  Cellfast 25м</t>
  </si>
  <si>
    <t>GR 3/4 50</t>
  </si>
  <si>
    <t>3/4 Шланг Green  Cellfast 50м</t>
  </si>
  <si>
    <t>Группа товаров :   Hobby</t>
  </si>
  <si>
    <t>HB 1/2 25</t>
  </si>
  <si>
    <t>1/2 Шланг Hobby Cellfast 25м</t>
  </si>
  <si>
    <t>HB 1/2 50</t>
  </si>
  <si>
    <t>1/2 Шланг Hobby Cellfast 50м</t>
  </si>
  <si>
    <t>HB 5/8 25</t>
  </si>
  <si>
    <t>5/8 Шланг Hobby Cellfast 25м</t>
  </si>
  <si>
    <t>HB 5/8 50</t>
  </si>
  <si>
    <t>5/8 Шланг Hobby Cellfast 50м</t>
  </si>
  <si>
    <t>HB 3/4 25</t>
  </si>
  <si>
    <t>3/4 Шланг Hobby Cellfast 25м</t>
  </si>
  <si>
    <t>HB 3/4 50</t>
  </si>
  <si>
    <t>3/4 Шланг Hobby Cellfast 50м</t>
  </si>
  <si>
    <t>HB 1D 50</t>
  </si>
  <si>
    <t>1д. Шланг Hobby Cellfast 50м</t>
  </si>
  <si>
    <t>Группа товаров :    Х - HOSE</t>
  </si>
  <si>
    <t>XHOSE</t>
  </si>
  <si>
    <t>XH15A</t>
  </si>
  <si>
    <t>Шланг X-HOSE (15м)</t>
  </si>
  <si>
    <t>www.presto-ps.com</t>
  </si>
  <si>
    <t xml:space="preserve">38 067 944 31 90 </t>
  </si>
  <si>
    <t>38 050 138 99 79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</si>
</sst>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#,##0.000"/>
  </numFmts>
  <fonts count="10" x14ac:knownFonts="1">
    <font>
      <sz val="8"/>
      <name val="Arial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8"/>
      <name val="Arial"/>
      <family val="2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14"/>
      <name val="Arial"/>
      <family val="2"/>
      <charset val="1"/>
    </font>
    <font>
      <b/>
      <sz val="14"/>
      <name val="Arial"/>
      <family val="2"/>
      <charset val="1"/>
    </font>
    <font>
      <sz val="12"/>
      <color rgb="FFFFFFFF"/>
      <name val="Arial"/>
      <family val="2"/>
      <charset val="1"/>
    </font>
    <font>
      <u/>
      <sz val="8"/>
      <color theme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CC00"/>
      </patternFill>
    </fill>
    <fill>
      <patternFill patternType="solid">
        <fgColor rgb="FFFFFFFF"/>
      </patternFill>
    </fill>
    <fill>
      <patternFill patternType="solid">
        <fgColor rgb="FFFFFBF0"/>
      </patternFill>
    </fill>
    <fill>
      <patternFill patternType="solid">
        <fgColor rgb="FFFF000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165" fontId="7" fillId="3" borderId="1" xfId="0" applyNumberFormat="1" applyFont="1" applyFill="1" applyBorder="1" applyAlignment="1">
      <alignment horizontal="center" vertical="center" wrapText="1"/>
    </xf>
    <xf numFmtId="1" fontId="7" fillId="4" borderId="2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66" fontId="7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wrapText="1"/>
    </xf>
    <xf numFmtId="0" fontId="8" fillId="6" borderId="1" xfId="0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9" fillId="0" borderId="0" xfId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250825</xdr:colOff>
      <xdr:row>1</xdr:row>
      <xdr:rowOff>15875</xdr:rowOff>
    </xdr:from>
    <xdr:to>
      <xdr:col>6</xdr:col>
      <xdr:colOff>273050</xdr:colOff>
      <xdr:row>5</xdr:row>
      <xdr:rowOff>168275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11</xdr:row>
      <xdr:rowOff>19050</xdr:rowOff>
    </xdr:from>
    <xdr:to>
      <xdr:col>0</xdr:col>
      <xdr:colOff>1155700</xdr:colOff>
      <xdr:row>12</xdr:row>
      <xdr:rowOff>542925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13</xdr:row>
      <xdr:rowOff>19050</xdr:rowOff>
    </xdr:from>
    <xdr:to>
      <xdr:col>0</xdr:col>
      <xdr:colOff>1155700</xdr:colOff>
      <xdr:row>14</xdr:row>
      <xdr:rowOff>542925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38100</xdr:colOff>
      <xdr:row>15</xdr:row>
      <xdr:rowOff>19050</xdr:rowOff>
    </xdr:from>
    <xdr:to>
      <xdr:col>0</xdr:col>
      <xdr:colOff>1171575</xdr:colOff>
      <xdr:row>16</xdr:row>
      <xdr:rowOff>561975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17</xdr:row>
      <xdr:rowOff>19050</xdr:rowOff>
    </xdr:from>
    <xdr:to>
      <xdr:col>0</xdr:col>
      <xdr:colOff>1155700</xdr:colOff>
      <xdr:row>18</xdr:row>
      <xdr:rowOff>542925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38100</xdr:colOff>
      <xdr:row>19</xdr:row>
      <xdr:rowOff>19050</xdr:rowOff>
    </xdr:from>
    <xdr:to>
      <xdr:col>0</xdr:col>
      <xdr:colOff>1171575</xdr:colOff>
      <xdr:row>20</xdr:row>
      <xdr:rowOff>561975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21</xdr:row>
      <xdr:rowOff>19050</xdr:rowOff>
    </xdr:from>
    <xdr:to>
      <xdr:col>0</xdr:col>
      <xdr:colOff>1155700</xdr:colOff>
      <xdr:row>22</xdr:row>
      <xdr:rowOff>542925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38100</xdr:colOff>
      <xdr:row>23</xdr:row>
      <xdr:rowOff>19050</xdr:rowOff>
    </xdr:from>
    <xdr:to>
      <xdr:col>0</xdr:col>
      <xdr:colOff>1171575</xdr:colOff>
      <xdr:row>24</xdr:row>
      <xdr:rowOff>561975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25</xdr:row>
      <xdr:rowOff>19050</xdr:rowOff>
    </xdr:from>
    <xdr:to>
      <xdr:col>0</xdr:col>
      <xdr:colOff>1155700</xdr:colOff>
      <xdr:row>26</xdr:row>
      <xdr:rowOff>542925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27</xdr:row>
      <xdr:rowOff>19050</xdr:rowOff>
    </xdr:from>
    <xdr:to>
      <xdr:col>0</xdr:col>
      <xdr:colOff>1155700</xdr:colOff>
      <xdr:row>28</xdr:row>
      <xdr:rowOff>542925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29</xdr:row>
      <xdr:rowOff>19050</xdr:rowOff>
    </xdr:from>
    <xdr:to>
      <xdr:col>0</xdr:col>
      <xdr:colOff>1155700</xdr:colOff>
      <xdr:row>30</xdr:row>
      <xdr:rowOff>542925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31</xdr:row>
      <xdr:rowOff>19050</xdr:rowOff>
    </xdr:from>
    <xdr:to>
      <xdr:col>0</xdr:col>
      <xdr:colOff>1155700</xdr:colOff>
      <xdr:row>32</xdr:row>
      <xdr:rowOff>542925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33</xdr:row>
      <xdr:rowOff>19050</xdr:rowOff>
    </xdr:from>
    <xdr:to>
      <xdr:col>0</xdr:col>
      <xdr:colOff>1155700</xdr:colOff>
      <xdr:row>34</xdr:row>
      <xdr:rowOff>542925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35</xdr:row>
      <xdr:rowOff>19050</xdr:rowOff>
    </xdr:from>
    <xdr:to>
      <xdr:col>0</xdr:col>
      <xdr:colOff>1155700</xdr:colOff>
      <xdr:row>36</xdr:row>
      <xdr:rowOff>542925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38</xdr:row>
      <xdr:rowOff>19050</xdr:rowOff>
    </xdr:from>
    <xdr:to>
      <xdr:col>0</xdr:col>
      <xdr:colOff>1155700</xdr:colOff>
      <xdr:row>39</xdr:row>
      <xdr:rowOff>542925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40</xdr:row>
      <xdr:rowOff>19050</xdr:rowOff>
    </xdr:from>
    <xdr:to>
      <xdr:col>0</xdr:col>
      <xdr:colOff>1155700</xdr:colOff>
      <xdr:row>41</xdr:row>
      <xdr:rowOff>542925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42</xdr:row>
      <xdr:rowOff>19050</xdr:rowOff>
    </xdr:from>
    <xdr:to>
      <xdr:col>0</xdr:col>
      <xdr:colOff>1155700</xdr:colOff>
      <xdr:row>43</xdr:row>
      <xdr:rowOff>542925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44</xdr:row>
      <xdr:rowOff>19050</xdr:rowOff>
    </xdr:from>
    <xdr:to>
      <xdr:col>0</xdr:col>
      <xdr:colOff>1155700</xdr:colOff>
      <xdr:row>45</xdr:row>
      <xdr:rowOff>542925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46</xdr:row>
      <xdr:rowOff>19050</xdr:rowOff>
    </xdr:from>
    <xdr:to>
      <xdr:col>0</xdr:col>
      <xdr:colOff>1155700</xdr:colOff>
      <xdr:row>47</xdr:row>
      <xdr:rowOff>542925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49</xdr:row>
      <xdr:rowOff>19050</xdr:rowOff>
    </xdr:from>
    <xdr:to>
      <xdr:col>0</xdr:col>
      <xdr:colOff>1155700</xdr:colOff>
      <xdr:row>50</xdr:row>
      <xdr:rowOff>542925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51</xdr:row>
      <xdr:rowOff>19050</xdr:rowOff>
    </xdr:from>
    <xdr:to>
      <xdr:col>0</xdr:col>
      <xdr:colOff>1155700</xdr:colOff>
      <xdr:row>52</xdr:row>
      <xdr:rowOff>542925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53</xdr:row>
      <xdr:rowOff>19050</xdr:rowOff>
    </xdr:from>
    <xdr:to>
      <xdr:col>0</xdr:col>
      <xdr:colOff>1155700</xdr:colOff>
      <xdr:row>54</xdr:row>
      <xdr:rowOff>542925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55</xdr:row>
      <xdr:rowOff>19050</xdr:rowOff>
    </xdr:from>
    <xdr:to>
      <xdr:col>0</xdr:col>
      <xdr:colOff>1155700</xdr:colOff>
      <xdr:row>56</xdr:row>
      <xdr:rowOff>542925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57</xdr:row>
      <xdr:rowOff>19050</xdr:rowOff>
    </xdr:from>
    <xdr:to>
      <xdr:col>0</xdr:col>
      <xdr:colOff>1155700</xdr:colOff>
      <xdr:row>58</xdr:row>
      <xdr:rowOff>542925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59</xdr:row>
      <xdr:rowOff>19050</xdr:rowOff>
    </xdr:from>
    <xdr:to>
      <xdr:col>0</xdr:col>
      <xdr:colOff>1155700</xdr:colOff>
      <xdr:row>60</xdr:row>
      <xdr:rowOff>542925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61</xdr:row>
      <xdr:rowOff>19050</xdr:rowOff>
    </xdr:from>
    <xdr:to>
      <xdr:col>0</xdr:col>
      <xdr:colOff>1155700</xdr:colOff>
      <xdr:row>62</xdr:row>
      <xdr:rowOff>542925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38100</xdr:colOff>
      <xdr:row>63</xdr:row>
      <xdr:rowOff>19050</xdr:rowOff>
    </xdr:from>
    <xdr:to>
      <xdr:col>0</xdr:col>
      <xdr:colOff>1171575</xdr:colOff>
      <xdr:row>64</xdr:row>
      <xdr:rowOff>561975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65</xdr:row>
      <xdr:rowOff>19050</xdr:rowOff>
    </xdr:from>
    <xdr:to>
      <xdr:col>0</xdr:col>
      <xdr:colOff>1155700</xdr:colOff>
      <xdr:row>66</xdr:row>
      <xdr:rowOff>542925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68</xdr:row>
      <xdr:rowOff>19050</xdr:rowOff>
    </xdr:from>
    <xdr:to>
      <xdr:col>0</xdr:col>
      <xdr:colOff>1155700</xdr:colOff>
      <xdr:row>69</xdr:row>
      <xdr:rowOff>542925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70</xdr:row>
      <xdr:rowOff>19050</xdr:rowOff>
    </xdr:from>
    <xdr:to>
      <xdr:col>0</xdr:col>
      <xdr:colOff>1155700</xdr:colOff>
      <xdr:row>71</xdr:row>
      <xdr:rowOff>542925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72</xdr:row>
      <xdr:rowOff>19050</xdr:rowOff>
    </xdr:from>
    <xdr:to>
      <xdr:col>0</xdr:col>
      <xdr:colOff>1155700</xdr:colOff>
      <xdr:row>73</xdr:row>
      <xdr:rowOff>542925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74</xdr:row>
      <xdr:rowOff>19050</xdr:rowOff>
    </xdr:from>
    <xdr:to>
      <xdr:col>0</xdr:col>
      <xdr:colOff>1155700</xdr:colOff>
      <xdr:row>75</xdr:row>
      <xdr:rowOff>542925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76</xdr:row>
      <xdr:rowOff>19050</xdr:rowOff>
    </xdr:from>
    <xdr:to>
      <xdr:col>0</xdr:col>
      <xdr:colOff>1155700</xdr:colOff>
      <xdr:row>77</xdr:row>
      <xdr:rowOff>542925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78</xdr:row>
      <xdr:rowOff>19050</xdr:rowOff>
    </xdr:from>
    <xdr:to>
      <xdr:col>0</xdr:col>
      <xdr:colOff>1155700</xdr:colOff>
      <xdr:row>79</xdr:row>
      <xdr:rowOff>542925</xdr:rowOff>
    </xdr:to>
    <xdr:sp macro="" textlink="">
      <xdr:nvSpPr>
        <xdr:cNvPr id="3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0</xdr:col>
      <xdr:colOff>44450</xdr:colOff>
      <xdr:row>80</xdr:row>
      <xdr:rowOff>19050</xdr:rowOff>
    </xdr:from>
    <xdr:to>
      <xdr:col>0</xdr:col>
      <xdr:colOff>1155700</xdr:colOff>
      <xdr:row>81</xdr:row>
      <xdr:rowOff>542925</xdr:rowOff>
    </xdr:to>
    <xdr:sp macro="" textlink="">
      <xdr:nvSpPr>
        <xdr:cNvPr id="3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0</xdr:col>
      <xdr:colOff>44450</xdr:colOff>
      <xdr:row>82</xdr:row>
      <xdr:rowOff>19050</xdr:rowOff>
    </xdr:from>
    <xdr:to>
      <xdr:col>0</xdr:col>
      <xdr:colOff>1155700</xdr:colOff>
      <xdr:row>83</xdr:row>
      <xdr:rowOff>542925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84</xdr:row>
      <xdr:rowOff>19050</xdr:rowOff>
    </xdr:from>
    <xdr:to>
      <xdr:col>0</xdr:col>
      <xdr:colOff>1155700</xdr:colOff>
      <xdr:row>85</xdr:row>
      <xdr:rowOff>542925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87</xdr:row>
      <xdr:rowOff>19050</xdr:rowOff>
    </xdr:from>
    <xdr:to>
      <xdr:col>0</xdr:col>
      <xdr:colOff>1155700</xdr:colOff>
      <xdr:row>88</xdr:row>
      <xdr:rowOff>542925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89</xdr:row>
      <xdr:rowOff>19050</xdr:rowOff>
    </xdr:from>
    <xdr:to>
      <xdr:col>0</xdr:col>
      <xdr:colOff>1155700</xdr:colOff>
      <xdr:row>90</xdr:row>
      <xdr:rowOff>542925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91</xdr:row>
      <xdr:rowOff>19050</xdr:rowOff>
    </xdr:from>
    <xdr:to>
      <xdr:col>0</xdr:col>
      <xdr:colOff>1155700</xdr:colOff>
      <xdr:row>92</xdr:row>
      <xdr:rowOff>542925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94</xdr:row>
      <xdr:rowOff>19050</xdr:rowOff>
    </xdr:from>
    <xdr:to>
      <xdr:col>0</xdr:col>
      <xdr:colOff>1155700</xdr:colOff>
      <xdr:row>95</xdr:row>
      <xdr:rowOff>542925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96</xdr:row>
      <xdr:rowOff>19050</xdr:rowOff>
    </xdr:from>
    <xdr:to>
      <xdr:col>0</xdr:col>
      <xdr:colOff>1155700</xdr:colOff>
      <xdr:row>97</xdr:row>
      <xdr:rowOff>542925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98</xdr:row>
      <xdr:rowOff>19050</xdr:rowOff>
    </xdr:from>
    <xdr:to>
      <xdr:col>0</xdr:col>
      <xdr:colOff>1155700</xdr:colOff>
      <xdr:row>99</xdr:row>
      <xdr:rowOff>542925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100</xdr:row>
      <xdr:rowOff>19050</xdr:rowOff>
    </xdr:from>
    <xdr:to>
      <xdr:col>0</xdr:col>
      <xdr:colOff>1155700</xdr:colOff>
      <xdr:row>101</xdr:row>
      <xdr:rowOff>542925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103</xdr:row>
      <xdr:rowOff>19050</xdr:rowOff>
    </xdr:from>
    <xdr:to>
      <xdr:col>0</xdr:col>
      <xdr:colOff>1155700</xdr:colOff>
      <xdr:row>104</xdr:row>
      <xdr:rowOff>542925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105</xdr:row>
      <xdr:rowOff>19050</xdr:rowOff>
    </xdr:from>
    <xdr:to>
      <xdr:col>0</xdr:col>
      <xdr:colOff>1155700</xdr:colOff>
      <xdr:row>106</xdr:row>
      <xdr:rowOff>542925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107</xdr:row>
      <xdr:rowOff>19050</xdr:rowOff>
    </xdr:from>
    <xdr:to>
      <xdr:col>0</xdr:col>
      <xdr:colOff>1155700</xdr:colOff>
      <xdr:row>108</xdr:row>
      <xdr:rowOff>542925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109</xdr:row>
      <xdr:rowOff>19050</xdr:rowOff>
    </xdr:from>
    <xdr:to>
      <xdr:col>0</xdr:col>
      <xdr:colOff>1155700</xdr:colOff>
      <xdr:row>110</xdr:row>
      <xdr:rowOff>542925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111</xdr:row>
      <xdr:rowOff>19050</xdr:rowOff>
    </xdr:from>
    <xdr:to>
      <xdr:col>0</xdr:col>
      <xdr:colOff>1155700</xdr:colOff>
      <xdr:row>112</xdr:row>
      <xdr:rowOff>542925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113</xdr:row>
      <xdr:rowOff>19050</xdr:rowOff>
    </xdr:from>
    <xdr:to>
      <xdr:col>0</xdr:col>
      <xdr:colOff>1155700</xdr:colOff>
      <xdr:row>114</xdr:row>
      <xdr:rowOff>542925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115</xdr:row>
      <xdr:rowOff>19050</xdr:rowOff>
    </xdr:from>
    <xdr:to>
      <xdr:col>0</xdr:col>
      <xdr:colOff>1155700</xdr:colOff>
      <xdr:row>116</xdr:row>
      <xdr:rowOff>542925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117</xdr:row>
      <xdr:rowOff>19050</xdr:rowOff>
    </xdr:from>
    <xdr:to>
      <xdr:col>0</xdr:col>
      <xdr:colOff>1155700</xdr:colOff>
      <xdr:row>118</xdr:row>
      <xdr:rowOff>542925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120</xdr:row>
      <xdr:rowOff>19050</xdr:rowOff>
    </xdr:from>
    <xdr:to>
      <xdr:col>0</xdr:col>
      <xdr:colOff>1155700</xdr:colOff>
      <xdr:row>121</xdr:row>
      <xdr:rowOff>542925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122</xdr:row>
      <xdr:rowOff>19050</xdr:rowOff>
    </xdr:from>
    <xdr:to>
      <xdr:col>0</xdr:col>
      <xdr:colOff>1155700</xdr:colOff>
      <xdr:row>123</xdr:row>
      <xdr:rowOff>542925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124</xdr:row>
      <xdr:rowOff>19050</xdr:rowOff>
    </xdr:from>
    <xdr:to>
      <xdr:col>0</xdr:col>
      <xdr:colOff>1155700</xdr:colOff>
      <xdr:row>125</xdr:row>
      <xdr:rowOff>542925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126</xdr:row>
      <xdr:rowOff>19050</xdr:rowOff>
    </xdr:from>
    <xdr:to>
      <xdr:col>0</xdr:col>
      <xdr:colOff>1155700</xdr:colOff>
      <xdr:row>127</xdr:row>
      <xdr:rowOff>542925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129</xdr:row>
      <xdr:rowOff>19050</xdr:rowOff>
    </xdr:from>
    <xdr:to>
      <xdr:col>0</xdr:col>
      <xdr:colOff>1155700</xdr:colOff>
      <xdr:row>130</xdr:row>
      <xdr:rowOff>542925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131</xdr:row>
      <xdr:rowOff>19050</xdr:rowOff>
    </xdr:from>
    <xdr:to>
      <xdr:col>0</xdr:col>
      <xdr:colOff>1155700</xdr:colOff>
      <xdr:row>132</xdr:row>
      <xdr:rowOff>542925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133</xdr:row>
      <xdr:rowOff>19050</xdr:rowOff>
    </xdr:from>
    <xdr:to>
      <xdr:col>0</xdr:col>
      <xdr:colOff>1155700</xdr:colOff>
      <xdr:row>134</xdr:row>
      <xdr:rowOff>542925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135</xdr:row>
      <xdr:rowOff>19050</xdr:rowOff>
    </xdr:from>
    <xdr:to>
      <xdr:col>0</xdr:col>
      <xdr:colOff>1155700</xdr:colOff>
      <xdr:row>136</xdr:row>
      <xdr:rowOff>542925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137</xdr:row>
      <xdr:rowOff>19050</xdr:rowOff>
    </xdr:from>
    <xdr:to>
      <xdr:col>0</xdr:col>
      <xdr:colOff>1155700</xdr:colOff>
      <xdr:row>138</xdr:row>
      <xdr:rowOff>542925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139</xdr:row>
      <xdr:rowOff>19050</xdr:rowOff>
    </xdr:from>
    <xdr:to>
      <xdr:col>0</xdr:col>
      <xdr:colOff>1155700</xdr:colOff>
      <xdr:row>140</xdr:row>
      <xdr:rowOff>542925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142</xdr:row>
      <xdr:rowOff>19050</xdr:rowOff>
    </xdr:from>
    <xdr:to>
      <xdr:col>0</xdr:col>
      <xdr:colOff>1155700</xdr:colOff>
      <xdr:row>143</xdr:row>
      <xdr:rowOff>542925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144</xdr:row>
      <xdr:rowOff>19050</xdr:rowOff>
    </xdr:from>
    <xdr:to>
      <xdr:col>0</xdr:col>
      <xdr:colOff>1155700</xdr:colOff>
      <xdr:row>145</xdr:row>
      <xdr:rowOff>542925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146</xdr:row>
      <xdr:rowOff>19050</xdr:rowOff>
    </xdr:from>
    <xdr:to>
      <xdr:col>0</xdr:col>
      <xdr:colOff>1155700</xdr:colOff>
      <xdr:row>147</xdr:row>
      <xdr:rowOff>542925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149</xdr:row>
      <xdr:rowOff>19050</xdr:rowOff>
    </xdr:from>
    <xdr:to>
      <xdr:col>0</xdr:col>
      <xdr:colOff>1155700</xdr:colOff>
      <xdr:row>150</xdr:row>
      <xdr:rowOff>542925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151</xdr:row>
      <xdr:rowOff>19050</xdr:rowOff>
    </xdr:from>
    <xdr:to>
      <xdr:col>0</xdr:col>
      <xdr:colOff>1155700</xdr:colOff>
      <xdr:row>152</xdr:row>
      <xdr:rowOff>542925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155</xdr:row>
      <xdr:rowOff>19050</xdr:rowOff>
    </xdr:from>
    <xdr:to>
      <xdr:col>0</xdr:col>
      <xdr:colOff>1155700</xdr:colOff>
      <xdr:row>156</xdr:row>
      <xdr:rowOff>542925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157</xdr:row>
      <xdr:rowOff>19050</xdr:rowOff>
    </xdr:from>
    <xdr:to>
      <xdr:col>0</xdr:col>
      <xdr:colOff>1155700</xdr:colOff>
      <xdr:row>158</xdr:row>
      <xdr:rowOff>542925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159</xdr:row>
      <xdr:rowOff>19050</xdr:rowOff>
    </xdr:from>
    <xdr:to>
      <xdr:col>0</xdr:col>
      <xdr:colOff>1155700</xdr:colOff>
      <xdr:row>160</xdr:row>
      <xdr:rowOff>542925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161</xdr:row>
      <xdr:rowOff>19050</xdr:rowOff>
    </xdr:from>
    <xdr:to>
      <xdr:col>0</xdr:col>
      <xdr:colOff>1155700</xdr:colOff>
      <xdr:row>162</xdr:row>
      <xdr:rowOff>542925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163</xdr:row>
      <xdr:rowOff>19050</xdr:rowOff>
    </xdr:from>
    <xdr:to>
      <xdr:col>0</xdr:col>
      <xdr:colOff>1155700</xdr:colOff>
      <xdr:row>164</xdr:row>
      <xdr:rowOff>542925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165</xdr:row>
      <xdr:rowOff>19050</xdr:rowOff>
    </xdr:from>
    <xdr:to>
      <xdr:col>0</xdr:col>
      <xdr:colOff>1155700</xdr:colOff>
      <xdr:row>166</xdr:row>
      <xdr:rowOff>542925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167</xdr:row>
      <xdr:rowOff>19050</xdr:rowOff>
    </xdr:from>
    <xdr:to>
      <xdr:col>0</xdr:col>
      <xdr:colOff>1155700</xdr:colOff>
      <xdr:row>168</xdr:row>
      <xdr:rowOff>542925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169</xdr:row>
      <xdr:rowOff>19050</xdr:rowOff>
    </xdr:from>
    <xdr:to>
      <xdr:col>0</xdr:col>
      <xdr:colOff>1155700</xdr:colOff>
      <xdr:row>170</xdr:row>
      <xdr:rowOff>542925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171</xdr:row>
      <xdr:rowOff>19050</xdr:rowOff>
    </xdr:from>
    <xdr:to>
      <xdr:col>0</xdr:col>
      <xdr:colOff>1155700</xdr:colOff>
      <xdr:row>172</xdr:row>
      <xdr:rowOff>542925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173</xdr:row>
      <xdr:rowOff>19050</xdr:rowOff>
    </xdr:from>
    <xdr:to>
      <xdr:col>0</xdr:col>
      <xdr:colOff>1155700</xdr:colOff>
      <xdr:row>174</xdr:row>
      <xdr:rowOff>542925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176</xdr:row>
      <xdr:rowOff>19050</xdr:rowOff>
    </xdr:from>
    <xdr:to>
      <xdr:col>0</xdr:col>
      <xdr:colOff>1155700</xdr:colOff>
      <xdr:row>177</xdr:row>
      <xdr:rowOff>542925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178</xdr:row>
      <xdr:rowOff>19050</xdr:rowOff>
    </xdr:from>
    <xdr:to>
      <xdr:col>0</xdr:col>
      <xdr:colOff>1155700</xdr:colOff>
      <xdr:row>179</xdr:row>
      <xdr:rowOff>542925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180</xdr:row>
      <xdr:rowOff>19050</xdr:rowOff>
    </xdr:from>
    <xdr:to>
      <xdr:col>0</xdr:col>
      <xdr:colOff>1155700</xdr:colOff>
      <xdr:row>181</xdr:row>
      <xdr:rowOff>542925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182</xdr:row>
      <xdr:rowOff>19050</xdr:rowOff>
    </xdr:from>
    <xdr:to>
      <xdr:col>0</xdr:col>
      <xdr:colOff>1155700</xdr:colOff>
      <xdr:row>183</xdr:row>
      <xdr:rowOff>542925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184</xdr:row>
      <xdr:rowOff>19050</xdr:rowOff>
    </xdr:from>
    <xdr:to>
      <xdr:col>0</xdr:col>
      <xdr:colOff>1155700</xdr:colOff>
      <xdr:row>185</xdr:row>
      <xdr:rowOff>542925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186</xdr:row>
      <xdr:rowOff>19050</xdr:rowOff>
    </xdr:from>
    <xdr:to>
      <xdr:col>0</xdr:col>
      <xdr:colOff>1155700</xdr:colOff>
      <xdr:row>187</xdr:row>
      <xdr:rowOff>542925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188</xdr:row>
      <xdr:rowOff>19050</xdr:rowOff>
    </xdr:from>
    <xdr:to>
      <xdr:col>0</xdr:col>
      <xdr:colOff>1155700</xdr:colOff>
      <xdr:row>189</xdr:row>
      <xdr:rowOff>542925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190</xdr:row>
      <xdr:rowOff>19050</xdr:rowOff>
    </xdr:from>
    <xdr:to>
      <xdr:col>0</xdr:col>
      <xdr:colOff>1155700</xdr:colOff>
      <xdr:row>191</xdr:row>
      <xdr:rowOff>542925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193</xdr:row>
      <xdr:rowOff>19050</xdr:rowOff>
    </xdr:from>
    <xdr:to>
      <xdr:col>0</xdr:col>
      <xdr:colOff>1155700</xdr:colOff>
      <xdr:row>194</xdr:row>
      <xdr:rowOff>542925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195</xdr:row>
      <xdr:rowOff>19050</xdr:rowOff>
    </xdr:from>
    <xdr:to>
      <xdr:col>0</xdr:col>
      <xdr:colOff>1155700</xdr:colOff>
      <xdr:row>196</xdr:row>
      <xdr:rowOff>542925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197</xdr:row>
      <xdr:rowOff>19050</xdr:rowOff>
    </xdr:from>
    <xdr:to>
      <xdr:col>0</xdr:col>
      <xdr:colOff>1155700</xdr:colOff>
      <xdr:row>198</xdr:row>
      <xdr:rowOff>542925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199</xdr:row>
      <xdr:rowOff>19050</xdr:rowOff>
    </xdr:from>
    <xdr:to>
      <xdr:col>0</xdr:col>
      <xdr:colOff>1155700</xdr:colOff>
      <xdr:row>200</xdr:row>
      <xdr:rowOff>542925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201</xdr:row>
      <xdr:rowOff>19050</xdr:rowOff>
    </xdr:from>
    <xdr:to>
      <xdr:col>0</xdr:col>
      <xdr:colOff>1155700</xdr:colOff>
      <xdr:row>202</xdr:row>
      <xdr:rowOff>542925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203</xdr:row>
      <xdr:rowOff>19050</xdr:rowOff>
    </xdr:from>
    <xdr:to>
      <xdr:col>0</xdr:col>
      <xdr:colOff>1155700</xdr:colOff>
      <xdr:row>204</xdr:row>
      <xdr:rowOff>542925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205</xdr:row>
      <xdr:rowOff>19050</xdr:rowOff>
    </xdr:from>
    <xdr:to>
      <xdr:col>0</xdr:col>
      <xdr:colOff>1155700</xdr:colOff>
      <xdr:row>206</xdr:row>
      <xdr:rowOff>542925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208</xdr:row>
      <xdr:rowOff>19050</xdr:rowOff>
    </xdr:from>
    <xdr:to>
      <xdr:col>0</xdr:col>
      <xdr:colOff>1155700</xdr:colOff>
      <xdr:row>209</xdr:row>
      <xdr:rowOff>542925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210</xdr:row>
      <xdr:rowOff>19050</xdr:rowOff>
    </xdr:from>
    <xdr:to>
      <xdr:col>0</xdr:col>
      <xdr:colOff>1155700</xdr:colOff>
      <xdr:row>211</xdr:row>
      <xdr:rowOff>542925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212</xdr:row>
      <xdr:rowOff>19050</xdr:rowOff>
    </xdr:from>
    <xdr:to>
      <xdr:col>0</xdr:col>
      <xdr:colOff>1155700</xdr:colOff>
      <xdr:row>213</xdr:row>
      <xdr:rowOff>542925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214</xdr:row>
      <xdr:rowOff>19050</xdr:rowOff>
    </xdr:from>
    <xdr:to>
      <xdr:col>0</xdr:col>
      <xdr:colOff>1155700</xdr:colOff>
      <xdr:row>215</xdr:row>
      <xdr:rowOff>542925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216</xdr:row>
      <xdr:rowOff>19050</xdr:rowOff>
    </xdr:from>
    <xdr:to>
      <xdr:col>0</xdr:col>
      <xdr:colOff>1155700</xdr:colOff>
      <xdr:row>217</xdr:row>
      <xdr:rowOff>542925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218</xdr:row>
      <xdr:rowOff>19050</xdr:rowOff>
    </xdr:from>
    <xdr:to>
      <xdr:col>0</xdr:col>
      <xdr:colOff>1155700</xdr:colOff>
      <xdr:row>219</xdr:row>
      <xdr:rowOff>542925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221</xdr:row>
      <xdr:rowOff>19050</xdr:rowOff>
    </xdr:from>
    <xdr:to>
      <xdr:col>0</xdr:col>
      <xdr:colOff>1155700</xdr:colOff>
      <xdr:row>222</xdr:row>
      <xdr:rowOff>542925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223</xdr:row>
      <xdr:rowOff>19050</xdr:rowOff>
    </xdr:from>
    <xdr:to>
      <xdr:col>0</xdr:col>
      <xdr:colOff>1155700</xdr:colOff>
      <xdr:row>224</xdr:row>
      <xdr:rowOff>542925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225</xdr:row>
      <xdr:rowOff>19050</xdr:rowOff>
    </xdr:from>
    <xdr:to>
      <xdr:col>0</xdr:col>
      <xdr:colOff>1155700</xdr:colOff>
      <xdr:row>226</xdr:row>
      <xdr:rowOff>542925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227</xdr:row>
      <xdr:rowOff>19050</xdr:rowOff>
    </xdr:from>
    <xdr:to>
      <xdr:col>0</xdr:col>
      <xdr:colOff>1155700</xdr:colOff>
      <xdr:row>228</xdr:row>
      <xdr:rowOff>542925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229</xdr:row>
      <xdr:rowOff>19050</xdr:rowOff>
    </xdr:from>
    <xdr:to>
      <xdr:col>0</xdr:col>
      <xdr:colOff>1155700</xdr:colOff>
      <xdr:row>230</xdr:row>
      <xdr:rowOff>542925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231</xdr:row>
      <xdr:rowOff>19050</xdr:rowOff>
    </xdr:from>
    <xdr:to>
      <xdr:col>0</xdr:col>
      <xdr:colOff>1155700</xdr:colOff>
      <xdr:row>232</xdr:row>
      <xdr:rowOff>542925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233</xdr:row>
      <xdr:rowOff>19050</xdr:rowOff>
    </xdr:from>
    <xdr:to>
      <xdr:col>0</xdr:col>
      <xdr:colOff>1155700</xdr:colOff>
      <xdr:row>234</xdr:row>
      <xdr:rowOff>542925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235</xdr:row>
      <xdr:rowOff>19050</xdr:rowOff>
    </xdr:from>
    <xdr:to>
      <xdr:col>0</xdr:col>
      <xdr:colOff>1155700</xdr:colOff>
      <xdr:row>236</xdr:row>
      <xdr:rowOff>542925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237</xdr:row>
      <xdr:rowOff>19050</xdr:rowOff>
    </xdr:from>
    <xdr:to>
      <xdr:col>0</xdr:col>
      <xdr:colOff>1155700</xdr:colOff>
      <xdr:row>238</xdr:row>
      <xdr:rowOff>542925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239</xdr:row>
      <xdr:rowOff>19050</xdr:rowOff>
    </xdr:from>
    <xdr:to>
      <xdr:col>0</xdr:col>
      <xdr:colOff>1155700</xdr:colOff>
      <xdr:row>240</xdr:row>
      <xdr:rowOff>542925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241</xdr:row>
      <xdr:rowOff>19050</xdr:rowOff>
    </xdr:from>
    <xdr:to>
      <xdr:col>0</xdr:col>
      <xdr:colOff>1155700</xdr:colOff>
      <xdr:row>242</xdr:row>
      <xdr:rowOff>542925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244</xdr:row>
      <xdr:rowOff>19050</xdr:rowOff>
    </xdr:from>
    <xdr:to>
      <xdr:col>0</xdr:col>
      <xdr:colOff>1155700</xdr:colOff>
      <xdr:row>245</xdr:row>
      <xdr:rowOff>542925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246</xdr:row>
      <xdr:rowOff>19050</xdr:rowOff>
    </xdr:from>
    <xdr:to>
      <xdr:col>0</xdr:col>
      <xdr:colOff>1155700</xdr:colOff>
      <xdr:row>247</xdr:row>
      <xdr:rowOff>542925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248</xdr:row>
      <xdr:rowOff>19050</xdr:rowOff>
    </xdr:from>
    <xdr:to>
      <xdr:col>0</xdr:col>
      <xdr:colOff>1155700</xdr:colOff>
      <xdr:row>249</xdr:row>
      <xdr:rowOff>542925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250</xdr:row>
      <xdr:rowOff>19050</xdr:rowOff>
    </xdr:from>
    <xdr:to>
      <xdr:col>0</xdr:col>
      <xdr:colOff>1155700</xdr:colOff>
      <xdr:row>251</xdr:row>
      <xdr:rowOff>542925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252</xdr:row>
      <xdr:rowOff>19050</xdr:rowOff>
    </xdr:from>
    <xdr:to>
      <xdr:col>0</xdr:col>
      <xdr:colOff>1155700</xdr:colOff>
      <xdr:row>253</xdr:row>
      <xdr:rowOff>542925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254</xdr:row>
      <xdr:rowOff>19050</xdr:rowOff>
    </xdr:from>
    <xdr:to>
      <xdr:col>0</xdr:col>
      <xdr:colOff>1155700</xdr:colOff>
      <xdr:row>255</xdr:row>
      <xdr:rowOff>542925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256</xdr:row>
      <xdr:rowOff>19050</xdr:rowOff>
    </xdr:from>
    <xdr:to>
      <xdr:col>0</xdr:col>
      <xdr:colOff>1155700</xdr:colOff>
      <xdr:row>257</xdr:row>
      <xdr:rowOff>542925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258</xdr:row>
      <xdr:rowOff>19050</xdr:rowOff>
    </xdr:from>
    <xdr:to>
      <xdr:col>0</xdr:col>
      <xdr:colOff>1155700</xdr:colOff>
      <xdr:row>259</xdr:row>
      <xdr:rowOff>542925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261</xdr:row>
      <xdr:rowOff>19050</xdr:rowOff>
    </xdr:from>
    <xdr:to>
      <xdr:col>0</xdr:col>
      <xdr:colOff>1155700</xdr:colOff>
      <xdr:row>262</xdr:row>
      <xdr:rowOff>542925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263</xdr:row>
      <xdr:rowOff>19050</xdr:rowOff>
    </xdr:from>
    <xdr:to>
      <xdr:col>0</xdr:col>
      <xdr:colOff>1155700</xdr:colOff>
      <xdr:row>264</xdr:row>
      <xdr:rowOff>542925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265</xdr:row>
      <xdr:rowOff>19050</xdr:rowOff>
    </xdr:from>
    <xdr:to>
      <xdr:col>0</xdr:col>
      <xdr:colOff>1155700</xdr:colOff>
      <xdr:row>266</xdr:row>
      <xdr:rowOff>542925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267</xdr:row>
      <xdr:rowOff>19050</xdr:rowOff>
    </xdr:from>
    <xdr:to>
      <xdr:col>0</xdr:col>
      <xdr:colOff>1155700</xdr:colOff>
      <xdr:row>268</xdr:row>
      <xdr:rowOff>542925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269</xdr:row>
      <xdr:rowOff>19050</xdr:rowOff>
    </xdr:from>
    <xdr:to>
      <xdr:col>0</xdr:col>
      <xdr:colOff>1155700</xdr:colOff>
      <xdr:row>270</xdr:row>
      <xdr:rowOff>542925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271</xdr:row>
      <xdr:rowOff>19050</xdr:rowOff>
    </xdr:from>
    <xdr:to>
      <xdr:col>0</xdr:col>
      <xdr:colOff>1155700</xdr:colOff>
      <xdr:row>272</xdr:row>
      <xdr:rowOff>542925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273</xdr:row>
      <xdr:rowOff>19050</xdr:rowOff>
    </xdr:from>
    <xdr:to>
      <xdr:col>0</xdr:col>
      <xdr:colOff>1155700</xdr:colOff>
      <xdr:row>274</xdr:row>
      <xdr:rowOff>542925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275</xdr:row>
      <xdr:rowOff>19050</xdr:rowOff>
    </xdr:from>
    <xdr:to>
      <xdr:col>0</xdr:col>
      <xdr:colOff>1155700</xdr:colOff>
      <xdr:row>276</xdr:row>
      <xdr:rowOff>542925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278</xdr:row>
      <xdr:rowOff>19050</xdr:rowOff>
    </xdr:from>
    <xdr:to>
      <xdr:col>0</xdr:col>
      <xdr:colOff>1155700</xdr:colOff>
      <xdr:row>279</xdr:row>
      <xdr:rowOff>542925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280</xdr:row>
      <xdr:rowOff>19050</xdr:rowOff>
    </xdr:from>
    <xdr:to>
      <xdr:col>0</xdr:col>
      <xdr:colOff>1155700</xdr:colOff>
      <xdr:row>281</xdr:row>
      <xdr:rowOff>542925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283</xdr:row>
      <xdr:rowOff>19050</xdr:rowOff>
    </xdr:from>
    <xdr:to>
      <xdr:col>0</xdr:col>
      <xdr:colOff>1155700</xdr:colOff>
      <xdr:row>284</xdr:row>
      <xdr:rowOff>542925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285</xdr:row>
      <xdr:rowOff>19050</xdr:rowOff>
    </xdr:from>
    <xdr:to>
      <xdr:col>0</xdr:col>
      <xdr:colOff>1155700</xdr:colOff>
      <xdr:row>286</xdr:row>
      <xdr:rowOff>542925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287</xdr:row>
      <xdr:rowOff>19050</xdr:rowOff>
    </xdr:from>
    <xdr:to>
      <xdr:col>0</xdr:col>
      <xdr:colOff>1155700</xdr:colOff>
      <xdr:row>288</xdr:row>
      <xdr:rowOff>542925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289</xdr:row>
      <xdr:rowOff>19050</xdr:rowOff>
    </xdr:from>
    <xdr:to>
      <xdr:col>0</xdr:col>
      <xdr:colOff>1155700</xdr:colOff>
      <xdr:row>290</xdr:row>
      <xdr:rowOff>542925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292</xdr:row>
      <xdr:rowOff>19050</xdr:rowOff>
    </xdr:from>
    <xdr:to>
      <xdr:col>0</xdr:col>
      <xdr:colOff>1155700</xdr:colOff>
      <xdr:row>293</xdr:row>
      <xdr:rowOff>542925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294</xdr:row>
      <xdr:rowOff>19050</xdr:rowOff>
    </xdr:from>
    <xdr:to>
      <xdr:col>0</xdr:col>
      <xdr:colOff>1155700</xdr:colOff>
      <xdr:row>295</xdr:row>
      <xdr:rowOff>542925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296</xdr:row>
      <xdr:rowOff>19050</xdr:rowOff>
    </xdr:from>
    <xdr:to>
      <xdr:col>0</xdr:col>
      <xdr:colOff>1155700</xdr:colOff>
      <xdr:row>297</xdr:row>
      <xdr:rowOff>542925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298</xdr:row>
      <xdr:rowOff>19050</xdr:rowOff>
    </xdr:from>
    <xdr:to>
      <xdr:col>0</xdr:col>
      <xdr:colOff>1155700</xdr:colOff>
      <xdr:row>299</xdr:row>
      <xdr:rowOff>542925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300</xdr:row>
      <xdr:rowOff>19050</xdr:rowOff>
    </xdr:from>
    <xdr:to>
      <xdr:col>0</xdr:col>
      <xdr:colOff>1155700</xdr:colOff>
      <xdr:row>301</xdr:row>
      <xdr:rowOff>542925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303</xdr:row>
      <xdr:rowOff>19050</xdr:rowOff>
    </xdr:from>
    <xdr:to>
      <xdr:col>0</xdr:col>
      <xdr:colOff>1155700</xdr:colOff>
      <xdr:row>304</xdr:row>
      <xdr:rowOff>542925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305</xdr:row>
      <xdr:rowOff>19050</xdr:rowOff>
    </xdr:from>
    <xdr:to>
      <xdr:col>0</xdr:col>
      <xdr:colOff>1155700</xdr:colOff>
      <xdr:row>306</xdr:row>
      <xdr:rowOff>542925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307</xdr:row>
      <xdr:rowOff>19050</xdr:rowOff>
    </xdr:from>
    <xdr:to>
      <xdr:col>0</xdr:col>
      <xdr:colOff>1155700</xdr:colOff>
      <xdr:row>308</xdr:row>
      <xdr:rowOff>542925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310</xdr:row>
      <xdr:rowOff>19050</xdr:rowOff>
    </xdr:from>
    <xdr:to>
      <xdr:col>0</xdr:col>
      <xdr:colOff>1155700</xdr:colOff>
      <xdr:row>311</xdr:row>
      <xdr:rowOff>542925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312</xdr:row>
      <xdr:rowOff>19050</xdr:rowOff>
    </xdr:from>
    <xdr:to>
      <xdr:col>0</xdr:col>
      <xdr:colOff>1155700</xdr:colOff>
      <xdr:row>313</xdr:row>
      <xdr:rowOff>542925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314</xdr:row>
      <xdr:rowOff>19050</xdr:rowOff>
    </xdr:from>
    <xdr:to>
      <xdr:col>0</xdr:col>
      <xdr:colOff>1155700</xdr:colOff>
      <xdr:row>315</xdr:row>
      <xdr:rowOff>542925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316</xdr:row>
      <xdr:rowOff>19050</xdr:rowOff>
    </xdr:from>
    <xdr:to>
      <xdr:col>0</xdr:col>
      <xdr:colOff>1155700</xdr:colOff>
      <xdr:row>317</xdr:row>
      <xdr:rowOff>542925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318</xdr:row>
      <xdr:rowOff>19050</xdr:rowOff>
    </xdr:from>
    <xdr:to>
      <xdr:col>0</xdr:col>
      <xdr:colOff>1155700</xdr:colOff>
      <xdr:row>319</xdr:row>
      <xdr:rowOff>542925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320</xdr:row>
      <xdr:rowOff>19050</xdr:rowOff>
    </xdr:from>
    <xdr:to>
      <xdr:col>0</xdr:col>
      <xdr:colOff>1155700</xdr:colOff>
      <xdr:row>321</xdr:row>
      <xdr:rowOff>542925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322</xdr:row>
      <xdr:rowOff>19050</xdr:rowOff>
    </xdr:from>
    <xdr:to>
      <xdr:col>0</xdr:col>
      <xdr:colOff>1155700</xdr:colOff>
      <xdr:row>323</xdr:row>
      <xdr:rowOff>542925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38100</xdr:colOff>
      <xdr:row>324</xdr:row>
      <xdr:rowOff>19050</xdr:rowOff>
    </xdr:from>
    <xdr:to>
      <xdr:col>0</xdr:col>
      <xdr:colOff>1171575</xdr:colOff>
      <xdr:row>325</xdr:row>
      <xdr:rowOff>561975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326</xdr:row>
      <xdr:rowOff>19050</xdr:rowOff>
    </xdr:from>
    <xdr:to>
      <xdr:col>0</xdr:col>
      <xdr:colOff>1155700</xdr:colOff>
      <xdr:row>327</xdr:row>
      <xdr:rowOff>542925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328</xdr:row>
      <xdr:rowOff>19050</xdr:rowOff>
    </xdr:from>
    <xdr:to>
      <xdr:col>0</xdr:col>
      <xdr:colOff>1155700</xdr:colOff>
      <xdr:row>329</xdr:row>
      <xdr:rowOff>542925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330</xdr:row>
      <xdr:rowOff>19050</xdr:rowOff>
    </xdr:from>
    <xdr:to>
      <xdr:col>0</xdr:col>
      <xdr:colOff>1155700</xdr:colOff>
      <xdr:row>331</xdr:row>
      <xdr:rowOff>542925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332</xdr:row>
      <xdr:rowOff>19050</xdr:rowOff>
    </xdr:from>
    <xdr:to>
      <xdr:col>0</xdr:col>
      <xdr:colOff>1155700</xdr:colOff>
      <xdr:row>333</xdr:row>
      <xdr:rowOff>542925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334</xdr:row>
      <xdr:rowOff>19050</xdr:rowOff>
    </xdr:from>
    <xdr:to>
      <xdr:col>0</xdr:col>
      <xdr:colOff>1155700</xdr:colOff>
      <xdr:row>335</xdr:row>
      <xdr:rowOff>542925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336</xdr:row>
      <xdr:rowOff>19050</xdr:rowOff>
    </xdr:from>
    <xdr:to>
      <xdr:col>0</xdr:col>
      <xdr:colOff>1155700</xdr:colOff>
      <xdr:row>337</xdr:row>
      <xdr:rowOff>542925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338</xdr:row>
      <xdr:rowOff>19050</xdr:rowOff>
    </xdr:from>
    <xdr:to>
      <xdr:col>0</xdr:col>
      <xdr:colOff>1155700</xdr:colOff>
      <xdr:row>339</xdr:row>
      <xdr:rowOff>542925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340</xdr:row>
      <xdr:rowOff>19050</xdr:rowOff>
    </xdr:from>
    <xdr:to>
      <xdr:col>0</xdr:col>
      <xdr:colOff>1155700</xdr:colOff>
      <xdr:row>341</xdr:row>
      <xdr:rowOff>542925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342</xdr:row>
      <xdr:rowOff>19050</xdr:rowOff>
    </xdr:from>
    <xdr:to>
      <xdr:col>0</xdr:col>
      <xdr:colOff>1155700</xdr:colOff>
      <xdr:row>343</xdr:row>
      <xdr:rowOff>542925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345</xdr:row>
      <xdr:rowOff>19050</xdr:rowOff>
    </xdr:from>
    <xdr:to>
      <xdr:col>0</xdr:col>
      <xdr:colOff>1155700</xdr:colOff>
      <xdr:row>346</xdr:row>
      <xdr:rowOff>542925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347</xdr:row>
      <xdr:rowOff>19050</xdr:rowOff>
    </xdr:from>
    <xdr:to>
      <xdr:col>0</xdr:col>
      <xdr:colOff>1155700</xdr:colOff>
      <xdr:row>348</xdr:row>
      <xdr:rowOff>542925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349</xdr:row>
      <xdr:rowOff>19050</xdr:rowOff>
    </xdr:from>
    <xdr:to>
      <xdr:col>0</xdr:col>
      <xdr:colOff>1155700</xdr:colOff>
      <xdr:row>350</xdr:row>
      <xdr:rowOff>542925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351</xdr:row>
      <xdr:rowOff>19050</xdr:rowOff>
    </xdr:from>
    <xdr:to>
      <xdr:col>0</xdr:col>
      <xdr:colOff>1155700</xdr:colOff>
      <xdr:row>352</xdr:row>
      <xdr:rowOff>542925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353</xdr:row>
      <xdr:rowOff>19050</xdr:rowOff>
    </xdr:from>
    <xdr:to>
      <xdr:col>0</xdr:col>
      <xdr:colOff>1155700</xdr:colOff>
      <xdr:row>354</xdr:row>
      <xdr:rowOff>542925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355</xdr:row>
      <xdr:rowOff>19050</xdr:rowOff>
    </xdr:from>
    <xdr:to>
      <xdr:col>0</xdr:col>
      <xdr:colOff>1155700</xdr:colOff>
      <xdr:row>356</xdr:row>
      <xdr:rowOff>542925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359</xdr:row>
      <xdr:rowOff>19050</xdr:rowOff>
    </xdr:from>
    <xdr:to>
      <xdr:col>0</xdr:col>
      <xdr:colOff>1155700</xdr:colOff>
      <xdr:row>360</xdr:row>
      <xdr:rowOff>542925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361</xdr:row>
      <xdr:rowOff>19050</xdr:rowOff>
    </xdr:from>
    <xdr:to>
      <xdr:col>0</xdr:col>
      <xdr:colOff>1155700</xdr:colOff>
      <xdr:row>362</xdr:row>
      <xdr:rowOff>542925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363</xdr:row>
      <xdr:rowOff>19050</xdr:rowOff>
    </xdr:from>
    <xdr:to>
      <xdr:col>0</xdr:col>
      <xdr:colOff>1155700</xdr:colOff>
      <xdr:row>364</xdr:row>
      <xdr:rowOff>542925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365</xdr:row>
      <xdr:rowOff>19050</xdr:rowOff>
    </xdr:from>
    <xdr:to>
      <xdr:col>0</xdr:col>
      <xdr:colOff>1155700</xdr:colOff>
      <xdr:row>366</xdr:row>
      <xdr:rowOff>542925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367</xdr:row>
      <xdr:rowOff>19050</xdr:rowOff>
    </xdr:from>
    <xdr:to>
      <xdr:col>0</xdr:col>
      <xdr:colOff>1155700</xdr:colOff>
      <xdr:row>368</xdr:row>
      <xdr:rowOff>542925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369</xdr:row>
      <xdr:rowOff>19050</xdr:rowOff>
    </xdr:from>
    <xdr:to>
      <xdr:col>0</xdr:col>
      <xdr:colOff>1155700</xdr:colOff>
      <xdr:row>370</xdr:row>
      <xdr:rowOff>542925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372</xdr:row>
      <xdr:rowOff>19050</xdr:rowOff>
    </xdr:from>
    <xdr:to>
      <xdr:col>0</xdr:col>
      <xdr:colOff>1155700</xdr:colOff>
      <xdr:row>373</xdr:row>
      <xdr:rowOff>542925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374</xdr:row>
      <xdr:rowOff>19050</xdr:rowOff>
    </xdr:from>
    <xdr:to>
      <xdr:col>0</xdr:col>
      <xdr:colOff>1155700</xdr:colOff>
      <xdr:row>375</xdr:row>
      <xdr:rowOff>542925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376</xdr:row>
      <xdr:rowOff>19050</xdr:rowOff>
    </xdr:from>
    <xdr:to>
      <xdr:col>0</xdr:col>
      <xdr:colOff>1155700</xdr:colOff>
      <xdr:row>377</xdr:row>
      <xdr:rowOff>542925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378</xdr:row>
      <xdr:rowOff>19050</xdr:rowOff>
    </xdr:from>
    <xdr:to>
      <xdr:col>0</xdr:col>
      <xdr:colOff>1155700</xdr:colOff>
      <xdr:row>379</xdr:row>
      <xdr:rowOff>542925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380</xdr:row>
      <xdr:rowOff>19050</xdr:rowOff>
    </xdr:from>
    <xdr:to>
      <xdr:col>0</xdr:col>
      <xdr:colOff>1155700</xdr:colOff>
      <xdr:row>381</xdr:row>
      <xdr:rowOff>542925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382</xdr:row>
      <xdr:rowOff>19050</xdr:rowOff>
    </xdr:from>
    <xdr:to>
      <xdr:col>0</xdr:col>
      <xdr:colOff>1155700</xdr:colOff>
      <xdr:row>383</xdr:row>
      <xdr:rowOff>542925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384</xdr:row>
      <xdr:rowOff>19050</xdr:rowOff>
    </xdr:from>
    <xdr:to>
      <xdr:col>0</xdr:col>
      <xdr:colOff>1155700</xdr:colOff>
      <xdr:row>385</xdr:row>
      <xdr:rowOff>542925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44450</xdr:colOff>
      <xdr:row>387</xdr:row>
      <xdr:rowOff>19050</xdr:rowOff>
    </xdr:from>
    <xdr:to>
      <xdr:col>0</xdr:col>
      <xdr:colOff>1155700</xdr:colOff>
      <xdr:row>388</xdr:row>
      <xdr:rowOff>542925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resto-p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2:N389"/>
  <sheetViews>
    <sheetView tabSelected="1" workbookViewId="0">
      <selection activeCell="Q12" sqref="Q12"/>
    </sheetView>
  </sheetViews>
  <sheetFormatPr defaultColWidth="10.140625" defaultRowHeight="11.4" customHeight="1" x14ac:dyDescent="0.2"/>
  <cols>
    <col min="1" max="1" width="21.140625" style="1" customWidth="1"/>
    <col min="2" max="2" width="2.28515625" style="1" customWidth="1"/>
    <col min="3" max="3" width="19.85546875" style="1" customWidth="1"/>
    <col min="4" max="4" width="13.85546875" style="1" customWidth="1"/>
    <col min="5" max="5" width="41.140625" style="1" customWidth="1"/>
    <col min="6" max="6" width="15.5703125" style="1" customWidth="1"/>
    <col min="7" max="7" width="13.140625" style="1" customWidth="1"/>
    <col min="8" max="8" width="10.85546875" style="1" customWidth="1"/>
    <col min="9" max="9" width="12.5703125" style="1" customWidth="1"/>
    <col min="10" max="10" width="17.5703125" style="1" customWidth="1"/>
    <col min="11" max="11" width="0.140625" style="1" customWidth="1"/>
    <col min="12" max="12" width="17.5703125" style="1" customWidth="1"/>
    <col min="13" max="13" width="0.140625" style="1" customWidth="1"/>
    <col min="14" max="14" width="13.28515625" style="1" customWidth="1"/>
  </cols>
  <sheetData>
    <row r="2" spans="1:14" ht="13.05" customHeight="1" x14ac:dyDescent="0.25">
      <c r="A2" s="2" t="s">
        <v>0</v>
      </c>
      <c r="B2" s="35"/>
      <c r="C2" s="35"/>
      <c r="L2" s="3" t="s">
        <v>1</v>
      </c>
      <c r="N2" s="3" t="s">
        <v>2</v>
      </c>
    </row>
    <row r="3" spans="1:14" ht="13.05" customHeight="1" x14ac:dyDescent="0.25">
      <c r="A3" s="36" t="s">
        <v>3</v>
      </c>
      <c r="B3" s="36" t="s">
        <v>413</v>
      </c>
      <c r="C3" s="36"/>
      <c r="H3" s="37" t="s">
        <v>4</v>
      </c>
      <c r="I3" s="37"/>
      <c r="J3" s="4" t="s">
        <v>5</v>
      </c>
      <c r="L3" s="38"/>
      <c r="M3" s="5"/>
      <c r="N3" s="38"/>
    </row>
    <row r="4" spans="1:14" ht="13.05" customHeight="1" x14ac:dyDescent="0.25">
      <c r="A4" s="36"/>
      <c r="B4" s="36"/>
      <c r="C4" s="36"/>
      <c r="H4" s="37" t="s">
        <v>6</v>
      </c>
      <c r="I4" s="37"/>
      <c r="J4" s="6">
        <v>27.2</v>
      </c>
      <c r="L4" s="38"/>
      <c r="M4" s="5"/>
      <c r="N4" s="38"/>
    </row>
    <row r="5" spans="1:14" ht="13.05" customHeight="1" x14ac:dyDescent="0.25">
      <c r="A5" s="2" t="s">
        <v>7</v>
      </c>
      <c r="B5" s="35" t="s">
        <v>414</v>
      </c>
      <c r="C5" s="35"/>
      <c r="D5" s="35"/>
      <c r="H5" s="37" t="s">
        <v>2</v>
      </c>
      <c r="I5" s="37"/>
      <c r="J5" s="6">
        <v>33.6</v>
      </c>
      <c r="L5" s="38"/>
      <c r="M5" s="5"/>
      <c r="N5" s="38"/>
    </row>
    <row r="6" spans="1:14" ht="13.05" customHeight="1" x14ac:dyDescent="0.25">
      <c r="A6" s="2" t="s">
        <v>8</v>
      </c>
      <c r="B6" s="40" t="s">
        <v>412</v>
      </c>
      <c r="C6" s="35"/>
      <c r="D6" s="35"/>
      <c r="H6" s="37"/>
      <c r="I6" s="37"/>
      <c r="J6" s="7"/>
    </row>
    <row r="8" spans="1:14" ht="31.95" customHeight="1" x14ac:dyDescent="0.2">
      <c r="A8" s="8" t="s">
        <v>9</v>
      </c>
      <c r="B8" s="39" t="s">
        <v>10</v>
      </c>
      <c r="C8" s="39"/>
      <c r="D8" s="8" t="s">
        <v>11</v>
      </c>
      <c r="E8" s="8" t="s">
        <v>12</v>
      </c>
      <c r="F8" s="8" t="s">
        <v>13</v>
      </c>
      <c r="G8" s="8" t="s">
        <v>14</v>
      </c>
      <c r="H8" s="8" t="s">
        <v>15</v>
      </c>
      <c r="I8" s="8" t="s">
        <v>16</v>
      </c>
      <c r="J8" s="8" t="s">
        <v>17</v>
      </c>
      <c r="K8" s="9"/>
      <c r="L8" s="8" t="s">
        <v>18</v>
      </c>
      <c r="M8" s="9"/>
    </row>
    <row r="9" spans="1:14" ht="16.05" customHeight="1" x14ac:dyDescent="0.3">
      <c r="A9" s="10" t="s">
        <v>19</v>
      </c>
      <c r="B9" s="11"/>
      <c r="C9" s="11"/>
      <c r="D9" s="11"/>
      <c r="E9" s="11"/>
      <c r="F9" s="11"/>
      <c r="G9" s="11"/>
      <c r="H9" s="11"/>
      <c r="I9" s="11"/>
      <c r="J9" s="11"/>
    </row>
    <row r="10" spans="1:14" ht="16.05" customHeight="1" x14ac:dyDescent="0.3">
      <c r="A10" s="10" t="s">
        <v>20</v>
      </c>
      <c r="B10" s="11"/>
      <c r="C10" s="11"/>
      <c r="D10" s="11"/>
      <c r="E10" s="11"/>
      <c r="F10" s="11"/>
      <c r="G10" s="11"/>
      <c r="H10" s="11"/>
      <c r="I10" s="11"/>
      <c r="J10" s="11"/>
    </row>
    <row r="11" spans="1:14" ht="16.05" customHeight="1" x14ac:dyDescent="0.3">
      <c r="A11" s="10" t="s">
        <v>21</v>
      </c>
      <c r="B11" s="11"/>
      <c r="C11" s="11"/>
      <c r="D11" s="11"/>
      <c r="E11" s="11"/>
      <c r="F11" s="11"/>
      <c r="G11" s="11"/>
      <c r="H11" s="11"/>
      <c r="I11" s="11"/>
      <c r="J11" s="11"/>
    </row>
    <row r="12" spans="1:14" s="1" customFormat="1" ht="48" customHeight="1" x14ac:dyDescent="0.2">
      <c r="A12" s="21"/>
      <c r="B12" s="22" t="s">
        <v>22</v>
      </c>
      <c r="C12" s="22"/>
      <c r="D12" s="23" t="s">
        <v>23</v>
      </c>
      <c r="E12" s="24" t="s">
        <v>24</v>
      </c>
      <c r="F12" s="25">
        <v>8</v>
      </c>
      <c r="G12" s="26">
        <v>12.5</v>
      </c>
      <c r="H12" s="25">
        <v>100</v>
      </c>
      <c r="I12" s="24" t="s">
        <v>25</v>
      </c>
      <c r="J12" s="12">
        <f>22.981 * IF(K12 = 980, 1, IF(K12 = 840,IF($L$3&gt;0,$L$3,1),IF(K12=982,IF($N$3&gt;0,$N$3,1))))</f>
        <v>22.981000000000002</v>
      </c>
      <c r="K12" s="13">
        <v>840</v>
      </c>
      <c r="L12" s="14">
        <f>29.88 * IF(M12 = 980, 1, IF(M12 = 840,IF($L$3&gt;0,$L$3,1),IF(M12=982,IF($N$3&gt;0,$N$3,1))))</f>
        <v>29.88</v>
      </c>
      <c r="M12" s="13">
        <v>840</v>
      </c>
    </row>
    <row r="13" spans="1:14" s="1" customFormat="1" ht="48" customHeight="1" x14ac:dyDescent="0.2">
      <c r="A13" s="21"/>
      <c r="B13" s="22"/>
      <c r="C13" s="22"/>
      <c r="D13" s="23"/>
      <c r="E13" s="24"/>
      <c r="F13" s="25"/>
      <c r="G13" s="26"/>
      <c r="H13" s="25"/>
      <c r="I13" s="24"/>
      <c r="J13" s="15" t="str">
        <f xml:space="preserve"> IF(K12 = 980, K13,IF(K12 = 840,IF($L$3&gt;0,"грн",K13),IF(K12=982,IF($N$3&gt;0,"грн",K13))))</f>
        <v>USD</v>
      </c>
      <c r="K13" s="16" t="s">
        <v>26</v>
      </c>
      <c r="L13" s="15" t="str">
        <f xml:space="preserve"> IF(M12 = 980, M13,IF(M12 = 840,IF($L$3&gt;0,"грн",M13),IF(M12=982,IF($N$3&gt;0,"грн",M13))))</f>
        <v>USD</v>
      </c>
      <c r="M13" s="16" t="s">
        <v>26</v>
      </c>
    </row>
    <row r="14" spans="1:14" s="1" customFormat="1" ht="48" customHeight="1" x14ac:dyDescent="0.2">
      <c r="A14" s="21"/>
      <c r="B14" s="22" t="s">
        <v>22</v>
      </c>
      <c r="C14" s="22"/>
      <c r="D14" s="23" t="s">
        <v>27</v>
      </c>
      <c r="E14" s="24" t="s">
        <v>28</v>
      </c>
      <c r="F14" s="25">
        <v>11</v>
      </c>
      <c r="G14" s="25">
        <v>18</v>
      </c>
      <c r="H14" s="25">
        <v>100</v>
      </c>
      <c r="I14" s="24" t="s">
        <v>25</v>
      </c>
      <c r="J14" s="12">
        <f>32.618 * IF(K14 = 980, 1, IF(K14 = 840,IF($L$3&gt;0,$L$3,1),IF(K14=982,IF($N$3&gt;0,$N$3,1))))</f>
        <v>32.618000000000002</v>
      </c>
      <c r="K14" s="13">
        <v>840</v>
      </c>
      <c r="L14" s="17">
        <f>42.4 * IF(M14 = 980, 1, IF(M14 = 840,IF($L$3&gt;0,$L$3,1),IF(M14=982,IF($N$3&gt;0,$N$3,1))))</f>
        <v>42.4</v>
      </c>
      <c r="M14" s="13">
        <v>840</v>
      </c>
    </row>
    <row r="15" spans="1:14" s="1" customFormat="1" ht="48" customHeight="1" x14ac:dyDescent="0.2">
      <c r="A15" s="21"/>
      <c r="B15" s="22"/>
      <c r="C15" s="22"/>
      <c r="D15" s="23"/>
      <c r="E15" s="24"/>
      <c r="F15" s="25"/>
      <c r="G15" s="25"/>
      <c r="H15" s="25"/>
      <c r="I15" s="24"/>
      <c r="J15" s="15" t="str">
        <f xml:space="preserve"> IF(K14 = 980, K15,IF(K14 = 840,IF($L$3&gt;0,"грн",K15),IF(K14=982,IF($N$3&gt;0,"грн",K15))))</f>
        <v>USD</v>
      </c>
      <c r="K15" s="16" t="s">
        <v>26</v>
      </c>
      <c r="L15" s="15" t="str">
        <f xml:space="preserve"> IF(M14 = 980, M15,IF(M14 = 840,IF($L$3&gt;0,"грн",M15),IF(M14=982,IF($N$3&gt;0,"грн",M15))))</f>
        <v>USD</v>
      </c>
      <c r="M15" s="16" t="s">
        <v>26</v>
      </c>
    </row>
    <row r="16" spans="1:14" s="1" customFormat="1" ht="48" customHeight="1" x14ac:dyDescent="0.2">
      <c r="A16" s="28"/>
      <c r="B16" s="29" t="s">
        <v>29</v>
      </c>
      <c r="C16" s="30" t="s">
        <v>22</v>
      </c>
      <c r="D16" s="31" t="s">
        <v>30</v>
      </c>
      <c r="E16" s="32" t="s">
        <v>31</v>
      </c>
      <c r="F16" s="34">
        <v>6</v>
      </c>
      <c r="G16" s="34">
        <v>25</v>
      </c>
      <c r="H16" s="34">
        <v>25</v>
      </c>
      <c r="I16" s="32" t="s">
        <v>25</v>
      </c>
      <c r="J16" s="12">
        <f>16.247 * IF(K16 = 980, 1, IF(K16 = 840,IF($L$3&gt;0,$L$3,1),IF(K16=982,IF($N$3&gt;0,$N$3,1))))</f>
        <v>16.247</v>
      </c>
      <c r="K16" s="13">
        <v>840</v>
      </c>
      <c r="L16" s="14">
        <f>21.12 * IF(M16 = 980, 1, IF(M16 = 840,IF($L$3&gt;0,$L$3,1),IF(M16=982,IF($N$3&gt;0,$N$3,1))))</f>
        <v>21.12</v>
      </c>
      <c r="M16" s="13">
        <v>840</v>
      </c>
    </row>
    <row r="17" spans="1:13" s="1" customFormat="1" ht="48" customHeight="1" x14ac:dyDescent="0.2">
      <c r="A17" s="28"/>
      <c r="B17" s="29"/>
      <c r="C17" s="30"/>
      <c r="D17" s="31"/>
      <c r="E17" s="32"/>
      <c r="F17" s="34"/>
      <c r="G17" s="34"/>
      <c r="H17" s="34"/>
      <c r="I17" s="32"/>
      <c r="J17" s="15" t="str">
        <f xml:space="preserve"> IF(K16 = 980, K17,IF(K16 = 840,IF($L$3&gt;0,"грн",K17),IF(K16=982,IF($N$3&gt;0,"грн",K17))))</f>
        <v>USD</v>
      </c>
      <c r="K17" s="16" t="s">
        <v>26</v>
      </c>
      <c r="L17" s="15" t="str">
        <f xml:space="preserve"> IF(M16 = 980, M17,IF(M16 = 840,IF($L$3&gt;0,"грн",M17),IF(M16=982,IF($N$3&gt;0,"грн",M17))))</f>
        <v>USD</v>
      </c>
      <c r="M17" s="16" t="s">
        <v>26</v>
      </c>
    </row>
    <row r="18" spans="1:13" s="1" customFormat="1" ht="48" customHeight="1" x14ac:dyDescent="0.2">
      <c r="A18" s="21"/>
      <c r="B18" s="22" t="s">
        <v>22</v>
      </c>
      <c r="C18" s="22"/>
      <c r="D18" s="23" t="s">
        <v>32</v>
      </c>
      <c r="E18" s="24" t="s">
        <v>33</v>
      </c>
      <c r="F18" s="25">
        <v>11</v>
      </c>
      <c r="G18" s="25">
        <v>25</v>
      </c>
      <c r="H18" s="25">
        <v>50</v>
      </c>
      <c r="I18" s="24" t="s">
        <v>25</v>
      </c>
      <c r="J18" s="12">
        <f>32.494 * IF(K18 = 980, 1, IF(K18 = 840,IF($L$3&gt;0,$L$3,1),IF(K18=982,IF($N$3&gt;0,$N$3,1))))</f>
        <v>32.494</v>
      </c>
      <c r="K18" s="13">
        <v>840</v>
      </c>
      <c r="L18" s="14">
        <f>42.24 * IF(M18 = 980, 1, IF(M18 = 840,IF($L$3&gt;0,$L$3,1),IF(M18=982,IF($N$3&gt;0,$N$3,1))))</f>
        <v>42.24</v>
      </c>
      <c r="M18" s="13">
        <v>840</v>
      </c>
    </row>
    <row r="19" spans="1:13" s="1" customFormat="1" ht="48" customHeight="1" x14ac:dyDescent="0.2">
      <c r="A19" s="21"/>
      <c r="B19" s="22"/>
      <c r="C19" s="22"/>
      <c r="D19" s="23"/>
      <c r="E19" s="24"/>
      <c r="F19" s="25"/>
      <c r="G19" s="25"/>
      <c r="H19" s="25"/>
      <c r="I19" s="24"/>
      <c r="J19" s="15" t="str">
        <f xml:space="preserve"> IF(K18 = 980, K19,IF(K18 = 840,IF($L$3&gt;0,"грн",K19),IF(K18=982,IF($N$3&gt;0,"грн",K19))))</f>
        <v>USD</v>
      </c>
      <c r="K19" s="16" t="s">
        <v>26</v>
      </c>
      <c r="L19" s="15" t="str">
        <f xml:space="preserve"> IF(M18 = 980, M19,IF(M18 = 840,IF($L$3&gt;0,"грн",M19),IF(M18=982,IF($N$3&gt;0,"грн",M19))))</f>
        <v>USD</v>
      </c>
      <c r="M19" s="16" t="s">
        <v>26</v>
      </c>
    </row>
    <row r="20" spans="1:13" s="1" customFormat="1" ht="48" customHeight="1" x14ac:dyDescent="0.2">
      <c r="A20" s="28"/>
      <c r="B20" s="29" t="s">
        <v>29</v>
      </c>
      <c r="C20" s="30" t="s">
        <v>22</v>
      </c>
      <c r="D20" s="31" t="s">
        <v>34</v>
      </c>
      <c r="E20" s="32" t="s">
        <v>35</v>
      </c>
      <c r="F20" s="34">
        <v>8</v>
      </c>
      <c r="G20" s="34">
        <v>32</v>
      </c>
      <c r="H20" s="34">
        <v>25</v>
      </c>
      <c r="I20" s="32" t="s">
        <v>25</v>
      </c>
      <c r="J20" s="12">
        <f>22.239 * IF(K20 = 980, 1, IF(K20 = 840,IF($L$3&gt;0,$L$3,1),IF(K20=982,IF($N$3&gt;0,$N$3,1))))</f>
        <v>22.239000000000001</v>
      </c>
      <c r="K20" s="13">
        <v>840</v>
      </c>
      <c r="L20" s="14">
        <f>28.91 * IF(M20 = 980, 1, IF(M20 = 840,IF($L$3&gt;0,$L$3,1),IF(M20=982,IF($N$3&gt;0,$N$3,1))))</f>
        <v>28.91</v>
      </c>
      <c r="M20" s="13">
        <v>840</v>
      </c>
    </row>
    <row r="21" spans="1:13" s="1" customFormat="1" ht="48" customHeight="1" x14ac:dyDescent="0.2">
      <c r="A21" s="28"/>
      <c r="B21" s="29"/>
      <c r="C21" s="30"/>
      <c r="D21" s="31"/>
      <c r="E21" s="32"/>
      <c r="F21" s="34"/>
      <c r="G21" s="34"/>
      <c r="H21" s="34"/>
      <c r="I21" s="32"/>
      <c r="J21" s="15" t="str">
        <f xml:space="preserve"> IF(K20 = 980, K21,IF(K20 = 840,IF($L$3&gt;0,"грн",K21),IF(K20=982,IF($N$3&gt;0,"грн",K21))))</f>
        <v>USD</v>
      </c>
      <c r="K21" s="16" t="s">
        <v>26</v>
      </c>
      <c r="L21" s="15" t="str">
        <f xml:space="preserve"> IF(M20 = 980, M21,IF(M20 = 840,IF($L$3&gt;0,"грн",M21),IF(M20=982,IF($N$3&gt;0,"грн",M21))))</f>
        <v>USD</v>
      </c>
      <c r="M21" s="16" t="s">
        <v>26</v>
      </c>
    </row>
    <row r="22" spans="1:13" s="1" customFormat="1" ht="48" customHeight="1" x14ac:dyDescent="0.2">
      <c r="A22" s="21"/>
      <c r="B22" s="22" t="s">
        <v>22</v>
      </c>
      <c r="C22" s="22"/>
      <c r="D22" s="23" t="s">
        <v>36</v>
      </c>
      <c r="E22" s="24" t="s">
        <v>37</v>
      </c>
      <c r="F22" s="25">
        <v>15</v>
      </c>
      <c r="G22" s="25">
        <v>32</v>
      </c>
      <c r="H22" s="25">
        <v>50</v>
      </c>
      <c r="I22" s="24" t="s">
        <v>25</v>
      </c>
      <c r="J22" s="12">
        <f>44.479 * IF(K22 = 980, 1, IF(K22 = 840,IF($L$3&gt;0,$L$3,1),IF(K22=982,IF($N$3&gt;0,$N$3,1))))</f>
        <v>44.478999999999999</v>
      </c>
      <c r="K22" s="13">
        <v>840</v>
      </c>
      <c r="L22" s="14">
        <f>57.82 * IF(M22 = 980, 1, IF(M22 = 840,IF($L$3&gt;0,$L$3,1),IF(M22=982,IF($N$3&gt;0,$N$3,1))))</f>
        <v>57.82</v>
      </c>
      <c r="M22" s="13">
        <v>840</v>
      </c>
    </row>
    <row r="23" spans="1:13" s="1" customFormat="1" ht="48" customHeight="1" x14ac:dyDescent="0.2">
      <c r="A23" s="21"/>
      <c r="B23" s="22"/>
      <c r="C23" s="22"/>
      <c r="D23" s="23"/>
      <c r="E23" s="24"/>
      <c r="F23" s="25"/>
      <c r="G23" s="25"/>
      <c r="H23" s="25"/>
      <c r="I23" s="24"/>
      <c r="J23" s="15" t="str">
        <f xml:space="preserve"> IF(K22 = 980, K23,IF(K22 = 840,IF($L$3&gt;0,"грн",K23),IF(K22=982,IF($N$3&gt;0,"грн",K23))))</f>
        <v>USD</v>
      </c>
      <c r="K23" s="16" t="s">
        <v>26</v>
      </c>
      <c r="L23" s="15" t="str">
        <f xml:space="preserve"> IF(M22 = 980, M23,IF(M22 = 840,IF($L$3&gt;0,"грн",M23),IF(M22=982,IF($N$3&gt;0,"грн",M23))))</f>
        <v>USD</v>
      </c>
      <c r="M23" s="16" t="s">
        <v>26</v>
      </c>
    </row>
    <row r="24" spans="1:13" s="1" customFormat="1" ht="48" customHeight="1" x14ac:dyDescent="0.2">
      <c r="A24" s="28"/>
      <c r="B24" s="29" t="s">
        <v>29</v>
      </c>
      <c r="C24" s="30" t="s">
        <v>22</v>
      </c>
      <c r="D24" s="31" t="s">
        <v>38</v>
      </c>
      <c r="E24" s="32" t="s">
        <v>39</v>
      </c>
      <c r="F24" s="34">
        <v>13</v>
      </c>
      <c r="G24" s="34">
        <v>40</v>
      </c>
      <c r="H24" s="34">
        <v>25</v>
      </c>
      <c r="I24" s="32" t="s">
        <v>25</v>
      </c>
      <c r="J24" s="12">
        <f>33.977 * IF(K24 = 980, 1, IF(K24 = 840,IF($L$3&gt;0,$L$3,1),IF(K24=982,IF($N$3&gt;0,$N$3,1))))</f>
        <v>33.976999999999997</v>
      </c>
      <c r="K24" s="13">
        <v>840</v>
      </c>
      <c r="L24" s="14">
        <f>44.17 * IF(M24 = 980, 1, IF(M24 = 840,IF($L$3&gt;0,$L$3,1),IF(M24=982,IF($N$3&gt;0,$N$3,1))))</f>
        <v>44.17</v>
      </c>
      <c r="M24" s="13">
        <v>840</v>
      </c>
    </row>
    <row r="25" spans="1:13" s="1" customFormat="1" ht="48" customHeight="1" x14ac:dyDescent="0.2">
      <c r="A25" s="28"/>
      <c r="B25" s="29"/>
      <c r="C25" s="30"/>
      <c r="D25" s="31"/>
      <c r="E25" s="32"/>
      <c r="F25" s="34"/>
      <c r="G25" s="34"/>
      <c r="H25" s="34"/>
      <c r="I25" s="32"/>
      <c r="J25" s="15" t="str">
        <f xml:space="preserve"> IF(K24 = 980, K25,IF(K24 = 840,IF($L$3&gt;0,"грн",K25),IF(K24=982,IF($N$3&gt;0,"грн",K25))))</f>
        <v>USD</v>
      </c>
      <c r="K25" s="16" t="s">
        <v>26</v>
      </c>
      <c r="L25" s="15" t="str">
        <f xml:space="preserve"> IF(M24 = 980, M25,IF(M24 = 840,IF($L$3&gt;0,"грн",M25),IF(M24=982,IF($N$3&gt;0,"грн",M25))))</f>
        <v>USD</v>
      </c>
      <c r="M25" s="16" t="s">
        <v>26</v>
      </c>
    </row>
    <row r="26" spans="1:13" s="1" customFormat="1" ht="48" customHeight="1" x14ac:dyDescent="0.2">
      <c r="A26" s="21"/>
      <c r="B26" s="22" t="s">
        <v>22</v>
      </c>
      <c r="C26" s="22"/>
      <c r="D26" s="23" t="s">
        <v>40</v>
      </c>
      <c r="E26" s="24" t="s">
        <v>41</v>
      </c>
      <c r="F26" s="25">
        <v>25</v>
      </c>
      <c r="G26" s="25">
        <v>40</v>
      </c>
      <c r="H26" s="25">
        <v>50</v>
      </c>
      <c r="I26" s="24" t="s">
        <v>42</v>
      </c>
      <c r="J26" s="12">
        <f>67.954 * IF(K26 = 980, 1, IF(K26 = 840,IF($L$3&gt;0,$L$3,1),IF(K26=982,IF($N$3&gt;0,$N$3,1))))</f>
        <v>67.953999999999994</v>
      </c>
      <c r="K26" s="13">
        <v>840</v>
      </c>
      <c r="L26" s="14">
        <f>88.34 * IF(M26 = 980, 1, IF(M26 = 840,IF($L$3&gt;0,$L$3,1),IF(M26=982,IF($N$3&gt;0,$N$3,1))))</f>
        <v>88.34</v>
      </c>
      <c r="M26" s="13">
        <v>840</v>
      </c>
    </row>
    <row r="27" spans="1:13" s="1" customFormat="1" ht="48" customHeight="1" x14ac:dyDescent="0.2">
      <c r="A27" s="21"/>
      <c r="B27" s="22"/>
      <c r="C27" s="22"/>
      <c r="D27" s="23"/>
      <c r="E27" s="24"/>
      <c r="F27" s="25"/>
      <c r="G27" s="25"/>
      <c r="H27" s="25"/>
      <c r="I27" s="24"/>
      <c r="J27" s="15" t="str">
        <f xml:space="preserve"> IF(K26 = 980, K27,IF(K26 = 840,IF($L$3&gt;0,"грн",K27),IF(K26=982,IF($N$3&gt;0,"грн",K27))))</f>
        <v>USD</v>
      </c>
      <c r="K27" s="16" t="s">
        <v>26</v>
      </c>
      <c r="L27" s="15" t="str">
        <f xml:space="preserve"> IF(M26 = 980, M27,IF(M26 = 840,IF($L$3&gt;0,"грн",M27),IF(M26=982,IF($N$3&gt;0,"грн",M27))))</f>
        <v>USD</v>
      </c>
      <c r="M27" s="16" t="s">
        <v>26</v>
      </c>
    </row>
    <row r="28" spans="1:13" s="1" customFormat="1" ht="48" customHeight="1" x14ac:dyDescent="0.2">
      <c r="A28" s="21"/>
      <c r="B28" s="22" t="s">
        <v>22</v>
      </c>
      <c r="C28" s="22"/>
      <c r="D28" s="23" t="s">
        <v>43</v>
      </c>
      <c r="E28" s="24" t="s">
        <v>44</v>
      </c>
      <c r="F28" s="26">
        <v>2.2000000000000002</v>
      </c>
      <c r="G28" s="25">
        <v>18</v>
      </c>
      <c r="H28" s="25">
        <v>20</v>
      </c>
      <c r="I28" s="24" t="s">
        <v>25</v>
      </c>
      <c r="J28" s="12">
        <f>6.524 * IF(K28 = 980, 1, IF(K28 = 840,IF($L$3&gt;0,$L$3,1),IF(K28=982,IF($N$3&gt;0,$N$3,1))))</f>
        <v>6.524</v>
      </c>
      <c r="K28" s="13">
        <v>840</v>
      </c>
      <c r="L28" s="14">
        <f>8.48 * IF(M28 = 980, 1, IF(M28 = 840,IF($L$3&gt;0,$L$3,1),IF(M28=982,IF($N$3&gt;0,$N$3,1))))</f>
        <v>8.48</v>
      </c>
      <c r="M28" s="13">
        <v>840</v>
      </c>
    </row>
    <row r="29" spans="1:13" s="1" customFormat="1" ht="48" customHeight="1" x14ac:dyDescent="0.2">
      <c r="A29" s="21"/>
      <c r="B29" s="22"/>
      <c r="C29" s="22"/>
      <c r="D29" s="23"/>
      <c r="E29" s="24"/>
      <c r="F29" s="26"/>
      <c r="G29" s="25"/>
      <c r="H29" s="25"/>
      <c r="I29" s="24"/>
      <c r="J29" s="15" t="str">
        <f xml:space="preserve"> IF(K28 = 980, K29,IF(K28 = 840,IF($L$3&gt;0,"грн",K29),IF(K28=982,IF($N$3&gt;0,"грн",K29))))</f>
        <v>USD</v>
      </c>
      <c r="K29" s="16" t="s">
        <v>26</v>
      </c>
      <c r="L29" s="15" t="str">
        <f xml:space="preserve"> IF(M28 = 980, M29,IF(M28 = 840,IF($L$3&gt;0,"грн",M29),IF(M28=982,IF($N$3&gt;0,"грн",M29))))</f>
        <v>USD</v>
      </c>
      <c r="M29" s="16" t="s">
        <v>26</v>
      </c>
    </row>
    <row r="30" spans="1:13" s="1" customFormat="1" ht="48" customHeight="1" x14ac:dyDescent="0.2">
      <c r="A30" s="21"/>
      <c r="B30" s="22" t="s">
        <v>22</v>
      </c>
      <c r="C30" s="22"/>
      <c r="D30" s="23" t="s">
        <v>45</v>
      </c>
      <c r="E30" s="24" t="s">
        <v>46</v>
      </c>
      <c r="F30" s="26">
        <v>3.3</v>
      </c>
      <c r="G30" s="25">
        <v>18</v>
      </c>
      <c r="H30" s="25">
        <v>30</v>
      </c>
      <c r="I30" s="24" t="s">
        <v>25</v>
      </c>
      <c r="J30" s="12">
        <f>9.785 * IF(K30 = 980, 1, IF(K30 = 840,IF($L$3&gt;0,$L$3,1),IF(K30=982,IF($N$3&gt;0,$N$3,1))))</f>
        <v>9.7850000000000001</v>
      </c>
      <c r="K30" s="13">
        <v>840</v>
      </c>
      <c r="L30" s="14">
        <f>12.72 * IF(M30 = 980, 1, IF(M30 = 840,IF($L$3&gt;0,$L$3,1),IF(M30=982,IF($N$3&gt;0,$N$3,1))))</f>
        <v>12.72</v>
      </c>
      <c r="M30" s="13">
        <v>840</v>
      </c>
    </row>
    <row r="31" spans="1:13" s="1" customFormat="1" ht="48" customHeight="1" x14ac:dyDescent="0.2">
      <c r="A31" s="21"/>
      <c r="B31" s="22"/>
      <c r="C31" s="22"/>
      <c r="D31" s="23"/>
      <c r="E31" s="24"/>
      <c r="F31" s="26"/>
      <c r="G31" s="25"/>
      <c r="H31" s="25"/>
      <c r="I31" s="24"/>
      <c r="J31" s="15" t="str">
        <f xml:space="preserve"> IF(K30 = 980, K31,IF(K30 = 840,IF($L$3&gt;0,"грн",K31),IF(K30=982,IF($N$3&gt;0,"грн",K31))))</f>
        <v>USD</v>
      </c>
      <c r="K31" s="16" t="s">
        <v>26</v>
      </c>
      <c r="L31" s="15" t="str">
        <f xml:space="preserve"> IF(M30 = 980, M31,IF(M30 = 840,IF($L$3&gt;0,"грн",M31),IF(M30=982,IF($N$3&gt;0,"грн",M31))))</f>
        <v>USD</v>
      </c>
      <c r="M31" s="16" t="s">
        <v>26</v>
      </c>
    </row>
    <row r="32" spans="1:13" s="1" customFormat="1" ht="48" customHeight="1" x14ac:dyDescent="0.2">
      <c r="A32" s="21"/>
      <c r="B32" s="22" t="s">
        <v>22</v>
      </c>
      <c r="C32" s="22"/>
      <c r="D32" s="23" t="s">
        <v>47</v>
      </c>
      <c r="E32" s="24" t="s">
        <v>48</v>
      </c>
      <c r="F32" s="26">
        <v>5.5</v>
      </c>
      <c r="G32" s="25">
        <v>18</v>
      </c>
      <c r="H32" s="25">
        <v>50</v>
      </c>
      <c r="I32" s="24" t="s">
        <v>25</v>
      </c>
      <c r="J32" s="12">
        <f>16.309 * IF(K32 = 980, 1, IF(K32 = 840,IF($L$3&gt;0,$L$3,1),IF(K32=982,IF($N$3&gt;0,$N$3,1))))</f>
        <v>16.309000000000001</v>
      </c>
      <c r="K32" s="13">
        <v>840</v>
      </c>
      <c r="L32" s="17">
        <f>21.2 * IF(M32 = 980, 1, IF(M32 = 840,IF($L$3&gt;0,$L$3,1),IF(M32=982,IF($N$3&gt;0,$N$3,1))))</f>
        <v>21.2</v>
      </c>
      <c r="M32" s="13">
        <v>840</v>
      </c>
    </row>
    <row r="33" spans="1:13" s="1" customFormat="1" ht="48" customHeight="1" x14ac:dyDescent="0.2">
      <c r="A33" s="21"/>
      <c r="B33" s="22"/>
      <c r="C33" s="22"/>
      <c r="D33" s="23"/>
      <c r="E33" s="24"/>
      <c r="F33" s="26"/>
      <c r="G33" s="25"/>
      <c r="H33" s="25"/>
      <c r="I33" s="24"/>
      <c r="J33" s="15" t="str">
        <f xml:space="preserve"> IF(K32 = 980, K33,IF(K32 = 840,IF($L$3&gt;0,"грн",K33),IF(K32=982,IF($N$3&gt;0,"грн",K33))))</f>
        <v>USD</v>
      </c>
      <c r="K33" s="16" t="s">
        <v>26</v>
      </c>
      <c r="L33" s="15" t="str">
        <f xml:space="preserve"> IF(M32 = 980, M33,IF(M32 = 840,IF($L$3&gt;0,"грн",M33),IF(M32=982,IF($N$3&gt;0,"грн",M33))))</f>
        <v>USD</v>
      </c>
      <c r="M33" s="16" t="s">
        <v>26</v>
      </c>
    </row>
    <row r="34" spans="1:13" s="1" customFormat="1" ht="48" customHeight="1" x14ac:dyDescent="0.2">
      <c r="A34" s="21"/>
      <c r="B34" s="22" t="s">
        <v>22</v>
      </c>
      <c r="C34" s="22"/>
      <c r="D34" s="23" t="s">
        <v>49</v>
      </c>
      <c r="E34" s="24" t="s">
        <v>50</v>
      </c>
      <c r="F34" s="26">
        <v>7.5</v>
      </c>
      <c r="G34" s="25">
        <v>18</v>
      </c>
      <c r="H34" s="25">
        <v>50</v>
      </c>
      <c r="I34" s="24" t="s">
        <v>51</v>
      </c>
      <c r="J34" s="12">
        <f>22.239 * IF(K34 = 980, 1, IF(K34 = 840,IF($L$3&gt;0,$L$3,1),IF(K34=982,IF($N$3&gt;0,$N$3,1))))</f>
        <v>22.239000000000001</v>
      </c>
      <c r="K34" s="13">
        <v>840</v>
      </c>
      <c r="L34" s="14">
        <f>28.91 * IF(M34 = 980, 1, IF(M34 = 840,IF($L$3&gt;0,$L$3,1),IF(M34=982,IF($N$3&gt;0,$N$3,1))))</f>
        <v>28.91</v>
      </c>
      <c r="M34" s="13">
        <v>840</v>
      </c>
    </row>
    <row r="35" spans="1:13" s="1" customFormat="1" ht="48" customHeight="1" x14ac:dyDescent="0.2">
      <c r="A35" s="21"/>
      <c r="B35" s="22"/>
      <c r="C35" s="22"/>
      <c r="D35" s="23"/>
      <c r="E35" s="24"/>
      <c r="F35" s="26"/>
      <c r="G35" s="25"/>
      <c r="H35" s="25"/>
      <c r="I35" s="24"/>
      <c r="J35" s="15" t="str">
        <f xml:space="preserve"> IF(K34 = 980, K35,IF(K34 = 840,IF($L$3&gt;0,"грн",K35),IF(K34=982,IF($N$3&gt;0,"грн",K35))))</f>
        <v>USD</v>
      </c>
      <c r="K35" s="16" t="s">
        <v>26</v>
      </c>
      <c r="L35" s="15" t="str">
        <f xml:space="preserve"> IF(M34 = 980, M35,IF(M34 = 840,IF($L$3&gt;0,"грн",M35),IF(M34=982,IF($N$3&gt;0,"грн",M35))))</f>
        <v>USD</v>
      </c>
      <c r="M35" s="16" t="s">
        <v>26</v>
      </c>
    </row>
    <row r="36" spans="1:13" s="1" customFormat="1" ht="48" customHeight="1" x14ac:dyDescent="0.2">
      <c r="A36" s="21"/>
      <c r="B36" s="22" t="s">
        <v>22</v>
      </c>
      <c r="C36" s="22"/>
      <c r="D36" s="23" t="s">
        <v>52</v>
      </c>
      <c r="E36" s="24" t="s">
        <v>53</v>
      </c>
      <c r="F36" s="25">
        <v>15</v>
      </c>
      <c r="G36" s="25">
        <v>18</v>
      </c>
      <c r="H36" s="25">
        <v>100</v>
      </c>
      <c r="I36" s="24" t="s">
        <v>25</v>
      </c>
      <c r="J36" s="12">
        <f>44.479 * IF(K36 = 980, 1, IF(K36 = 840,IF($L$3&gt;0,$L$3,1),IF(K36=982,IF($N$3&gt;0,$N$3,1))))</f>
        <v>44.478999999999999</v>
      </c>
      <c r="K36" s="13">
        <v>840</v>
      </c>
      <c r="L36" s="14">
        <f>57.82 * IF(M36 = 980, 1, IF(M36 = 840,IF($L$3&gt;0,$L$3,1),IF(M36=982,IF($N$3&gt;0,$N$3,1))))</f>
        <v>57.82</v>
      </c>
      <c r="M36" s="13">
        <v>840</v>
      </c>
    </row>
    <row r="37" spans="1:13" s="1" customFormat="1" ht="48" customHeight="1" x14ac:dyDescent="0.2">
      <c r="A37" s="21"/>
      <c r="B37" s="22"/>
      <c r="C37" s="22"/>
      <c r="D37" s="23"/>
      <c r="E37" s="24"/>
      <c r="F37" s="25"/>
      <c r="G37" s="25"/>
      <c r="H37" s="25"/>
      <c r="I37" s="24"/>
      <c r="J37" s="15" t="str">
        <f xml:space="preserve"> IF(K36 = 980, K37,IF(K36 = 840,IF($L$3&gt;0,"грн",K37),IF(K36=982,IF($N$3&gt;0,"грн",K37))))</f>
        <v>USD</v>
      </c>
      <c r="K37" s="16" t="s">
        <v>26</v>
      </c>
      <c r="L37" s="15" t="str">
        <f xml:space="preserve"> IF(M36 = 980, M37,IF(M36 = 840,IF($L$3&gt;0,"грн",M37),IF(M36=982,IF($N$3&gt;0,"грн",M37))))</f>
        <v>USD</v>
      </c>
      <c r="M37" s="16" t="s">
        <v>26</v>
      </c>
    </row>
    <row r="38" spans="1:13" ht="16.05" customHeight="1" x14ac:dyDescent="0.3">
      <c r="A38" s="10" t="s">
        <v>54</v>
      </c>
      <c r="B38" s="11"/>
      <c r="C38" s="11"/>
      <c r="D38" s="11"/>
      <c r="E38" s="11"/>
      <c r="F38" s="11"/>
      <c r="G38" s="11"/>
      <c r="H38" s="11"/>
      <c r="I38" s="11"/>
      <c r="J38" s="11"/>
    </row>
    <row r="39" spans="1:13" s="1" customFormat="1" ht="48" customHeight="1" x14ac:dyDescent="0.2">
      <c r="A39" s="21"/>
      <c r="B39" s="22" t="s">
        <v>22</v>
      </c>
      <c r="C39" s="22"/>
      <c r="D39" s="23" t="s">
        <v>55</v>
      </c>
      <c r="E39" s="24" t="s">
        <v>56</v>
      </c>
      <c r="F39" s="25">
        <v>8</v>
      </c>
      <c r="G39" s="26">
        <v>12.5</v>
      </c>
      <c r="H39" s="25">
        <v>100</v>
      </c>
      <c r="I39" s="24" t="s">
        <v>25</v>
      </c>
      <c r="J39" s="12">
        <f>23.722 * IF(K39 = 980, 1, IF(K39 = 840,IF($L$3&gt;0,$L$3,1),IF(K39=982,IF($N$3&gt;0,$N$3,1))))</f>
        <v>23.722000000000001</v>
      </c>
      <c r="K39" s="13">
        <v>840</v>
      </c>
      <c r="L39" s="14">
        <f>30.84 * IF(M39 = 980, 1, IF(M39 = 840,IF($L$3&gt;0,$L$3,1),IF(M39=982,IF($N$3&gt;0,$N$3,1))))</f>
        <v>30.84</v>
      </c>
      <c r="M39" s="13">
        <v>840</v>
      </c>
    </row>
    <row r="40" spans="1:13" s="1" customFormat="1" ht="48" customHeight="1" x14ac:dyDescent="0.2">
      <c r="A40" s="21"/>
      <c r="B40" s="22"/>
      <c r="C40" s="22"/>
      <c r="D40" s="23"/>
      <c r="E40" s="24"/>
      <c r="F40" s="25"/>
      <c r="G40" s="26"/>
      <c r="H40" s="25"/>
      <c r="I40" s="24"/>
      <c r="J40" s="15" t="str">
        <f xml:space="preserve"> IF(K39 = 980, K40,IF(K39 = 840,IF($L$3&gt;0,"грн",K40),IF(K39=982,IF($N$3&gt;0,"грн",K40))))</f>
        <v>USD</v>
      </c>
      <c r="K40" s="16" t="s">
        <v>26</v>
      </c>
      <c r="L40" s="15" t="str">
        <f xml:space="preserve"> IF(M39 = 980, M40,IF(M39 = 840,IF($L$3&gt;0,"грн",M40),IF(M39=982,IF($N$3&gt;0,"грн",M40))))</f>
        <v>USD</v>
      </c>
      <c r="M40" s="16" t="s">
        <v>26</v>
      </c>
    </row>
    <row r="41" spans="1:13" s="1" customFormat="1" ht="48" customHeight="1" x14ac:dyDescent="0.2">
      <c r="A41" s="21"/>
      <c r="B41" s="22" t="s">
        <v>22</v>
      </c>
      <c r="C41" s="22"/>
      <c r="D41" s="23" t="s">
        <v>57</v>
      </c>
      <c r="E41" s="24" t="s">
        <v>58</v>
      </c>
      <c r="F41" s="25">
        <v>11</v>
      </c>
      <c r="G41" s="25">
        <v>18</v>
      </c>
      <c r="H41" s="25">
        <v>100</v>
      </c>
      <c r="I41" s="24" t="s">
        <v>25</v>
      </c>
      <c r="J41" s="12">
        <f>35.583 * IF(K41 = 980, 1, IF(K41 = 840,IF($L$3&gt;0,$L$3,1),IF(K41=982,IF($N$3&gt;0,$N$3,1))))</f>
        <v>35.582999999999998</v>
      </c>
      <c r="K41" s="13">
        <v>840</v>
      </c>
      <c r="L41" s="14">
        <f>46.26 * IF(M41 = 980, 1, IF(M41 = 840,IF($L$3&gt;0,$L$3,1),IF(M41=982,IF($N$3&gt;0,$N$3,1))))</f>
        <v>46.26</v>
      </c>
      <c r="M41" s="13">
        <v>840</v>
      </c>
    </row>
    <row r="42" spans="1:13" s="1" customFormat="1" ht="48" customHeight="1" x14ac:dyDescent="0.2">
      <c r="A42" s="21"/>
      <c r="B42" s="22"/>
      <c r="C42" s="22"/>
      <c r="D42" s="23"/>
      <c r="E42" s="24"/>
      <c r="F42" s="25"/>
      <c r="G42" s="25"/>
      <c r="H42" s="25"/>
      <c r="I42" s="24"/>
      <c r="J42" s="15" t="str">
        <f xml:space="preserve"> IF(K41 = 980, K42,IF(K41 = 840,IF($L$3&gt;0,"грн",K42),IF(K41=982,IF($N$3&gt;0,"грн",K42))))</f>
        <v>USD</v>
      </c>
      <c r="K42" s="16" t="s">
        <v>26</v>
      </c>
      <c r="L42" s="15" t="str">
        <f xml:space="preserve"> IF(M41 = 980, M42,IF(M41 = 840,IF($L$3&gt;0,"грн",M42),IF(M41=982,IF($N$3&gt;0,"грн",M42))))</f>
        <v>USD</v>
      </c>
      <c r="M42" s="16" t="s">
        <v>26</v>
      </c>
    </row>
    <row r="43" spans="1:13" s="1" customFormat="1" ht="48" customHeight="1" x14ac:dyDescent="0.2">
      <c r="A43" s="21"/>
      <c r="B43" s="22" t="s">
        <v>22</v>
      </c>
      <c r="C43" s="22"/>
      <c r="D43" s="23" t="s">
        <v>59</v>
      </c>
      <c r="E43" s="24" t="s">
        <v>60</v>
      </c>
      <c r="F43" s="25">
        <v>11</v>
      </c>
      <c r="G43" s="25">
        <v>25</v>
      </c>
      <c r="H43" s="25">
        <v>50</v>
      </c>
      <c r="I43" s="24" t="s">
        <v>25</v>
      </c>
      <c r="J43" s="12">
        <f>35.645 * IF(K43 = 980, 1, IF(K43 = 840,IF($L$3&gt;0,$L$3,1),IF(K43=982,IF($N$3&gt;0,$N$3,1))))</f>
        <v>35.645000000000003</v>
      </c>
      <c r="K43" s="13">
        <v>840</v>
      </c>
      <c r="L43" s="14">
        <f>46.34 * IF(M43 = 980, 1, IF(M43 = 840,IF($L$3&gt;0,$L$3,1),IF(M43=982,IF($N$3&gt;0,$N$3,1))))</f>
        <v>46.34</v>
      </c>
      <c r="M43" s="13">
        <v>840</v>
      </c>
    </row>
    <row r="44" spans="1:13" s="1" customFormat="1" ht="48" customHeight="1" x14ac:dyDescent="0.2">
      <c r="A44" s="21"/>
      <c r="B44" s="22"/>
      <c r="C44" s="22"/>
      <c r="D44" s="23"/>
      <c r="E44" s="24"/>
      <c r="F44" s="25"/>
      <c r="G44" s="25"/>
      <c r="H44" s="25"/>
      <c r="I44" s="24"/>
      <c r="J44" s="15" t="str">
        <f xml:space="preserve"> IF(K43 = 980, K44,IF(K43 = 840,IF($L$3&gt;0,"грн",K44),IF(K43=982,IF($N$3&gt;0,"грн",K44))))</f>
        <v>USD</v>
      </c>
      <c r="K44" s="16" t="s">
        <v>26</v>
      </c>
      <c r="L44" s="15" t="str">
        <f xml:space="preserve"> IF(M43 = 980, M44,IF(M43 = 840,IF($L$3&gt;0,"грн",M44),IF(M43=982,IF($N$3&gt;0,"грн",M44))))</f>
        <v>USD</v>
      </c>
      <c r="M44" s="16" t="s">
        <v>26</v>
      </c>
    </row>
    <row r="45" spans="1:13" s="1" customFormat="1" ht="48" customHeight="1" x14ac:dyDescent="0.2">
      <c r="A45" s="21"/>
      <c r="B45" s="22" t="s">
        <v>22</v>
      </c>
      <c r="C45" s="22"/>
      <c r="D45" s="23" t="s">
        <v>61</v>
      </c>
      <c r="E45" s="24" t="s">
        <v>62</v>
      </c>
      <c r="F45" s="25">
        <v>15</v>
      </c>
      <c r="G45" s="25">
        <v>32</v>
      </c>
      <c r="H45" s="25">
        <v>50</v>
      </c>
      <c r="I45" s="24" t="s">
        <v>25</v>
      </c>
      <c r="J45" s="12">
        <f>48.618 * IF(K45 = 980, 1, IF(K45 = 840,IF($L$3&gt;0,$L$3,1),IF(K45=982,IF($N$3&gt;0,$N$3,1))))</f>
        <v>48.618000000000002</v>
      </c>
      <c r="K45" s="13">
        <v>840</v>
      </c>
      <c r="L45" s="17">
        <f>63.2 * IF(M45 = 980, 1, IF(M45 = 840,IF($L$3&gt;0,$L$3,1),IF(M45=982,IF($N$3&gt;0,$N$3,1))))</f>
        <v>63.2</v>
      </c>
      <c r="M45" s="13">
        <v>840</v>
      </c>
    </row>
    <row r="46" spans="1:13" s="1" customFormat="1" ht="48" customHeight="1" x14ac:dyDescent="0.2">
      <c r="A46" s="21"/>
      <c r="B46" s="22"/>
      <c r="C46" s="22"/>
      <c r="D46" s="23"/>
      <c r="E46" s="24"/>
      <c r="F46" s="25"/>
      <c r="G46" s="25"/>
      <c r="H46" s="25"/>
      <c r="I46" s="24"/>
      <c r="J46" s="15" t="str">
        <f xml:space="preserve"> IF(K45 = 980, K46,IF(K45 = 840,IF($L$3&gt;0,"грн",K46),IF(K45=982,IF($N$3&gt;0,"грн",K46))))</f>
        <v>USD</v>
      </c>
      <c r="K46" s="16" t="s">
        <v>26</v>
      </c>
      <c r="L46" s="15" t="str">
        <f xml:space="preserve"> IF(M45 = 980, M46,IF(M45 = 840,IF($L$3&gt;0,"грн",M46),IF(M45=982,IF($N$3&gt;0,"грн",M46))))</f>
        <v>USD</v>
      </c>
      <c r="M46" s="16" t="s">
        <v>26</v>
      </c>
    </row>
    <row r="47" spans="1:13" s="1" customFormat="1" ht="48" customHeight="1" x14ac:dyDescent="0.2">
      <c r="A47" s="21"/>
      <c r="B47" s="22" t="s">
        <v>22</v>
      </c>
      <c r="C47" s="22"/>
      <c r="D47" s="23" t="s">
        <v>63</v>
      </c>
      <c r="E47" s="24" t="s">
        <v>64</v>
      </c>
      <c r="F47" s="25">
        <v>25</v>
      </c>
      <c r="G47" s="25">
        <v>40</v>
      </c>
      <c r="H47" s="25">
        <v>50</v>
      </c>
      <c r="I47" s="24" t="s">
        <v>42</v>
      </c>
      <c r="J47" s="12">
        <f>74.131 * IF(K47 = 980, 1, IF(K47 = 840,IF($L$3&gt;0,$L$3,1),IF(K47=982,IF($N$3&gt;0,$N$3,1))))</f>
        <v>74.131</v>
      </c>
      <c r="K47" s="13">
        <v>840</v>
      </c>
      <c r="L47" s="14">
        <f>96.37 * IF(M47 = 980, 1, IF(M47 = 840,IF($L$3&gt;0,$L$3,1),IF(M47=982,IF($N$3&gt;0,$N$3,1))))</f>
        <v>96.37</v>
      </c>
      <c r="M47" s="13">
        <v>840</v>
      </c>
    </row>
    <row r="48" spans="1:13" s="1" customFormat="1" ht="48" customHeight="1" x14ac:dyDescent="0.2">
      <c r="A48" s="21"/>
      <c r="B48" s="22"/>
      <c r="C48" s="22"/>
      <c r="D48" s="23"/>
      <c r="E48" s="24"/>
      <c r="F48" s="25"/>
      <c r="G48" s="25"/>
      <c r="H48" s="25"/>
      <c r="I48" s="24"/>
      <c r="J48" s="15" t="str">
        <f xml:space="preserve"> IF(K47 = 980, K48,IF(K47 = 840,IF($L$3&gt;0,"грн",K48),IF(K47=982,IF($N$3&gt;0,"грн",K48))))</f>
        <v>USD</v>
      </c>
      <c r="K48" s="16" t="s">
        <v>26</v>
      </c>
      <c r="L48" s="15" t="str">
        <f xml:space="preserve"> IF(M47 = 980, M48,IF(M47 = 840,IF($L$3&gt;0,"грн",M48),IF(M47=982,IF($N$3&gt;0,"грн",M48))))</f>
        <v>USD</v>
      </c>
      <c r="M48" s="16" t="s">
        <v>26</v>
      </c>
    </row>
    <row r="49" spans="1:13" ht="16.05" customHeight="1" x14ac:dyDescent="0.3">
      <c r="A49" s="10" t="s">
        <v>65</v>
      </c>
      <c r="B49" s="11"/>
      <c r="C49" s="11"/>
      <c r="D49" s="11"/>
      <c r="E49" s="11"/>
      <c r="F49" s="11"/>
      <c r="G49" s="11"/>
      <c r="H49" s="11"/>
      <c r="I49" s="11"/>
      <c r="J49" s="11"/>
    </row>
    <row r="50" spans="1:13" s="1" customFormat="1" ht="48" customHeight="1" x14ac:dyDescent="0.2">
      <c r="A50" s="21"/>
      <c r="B50" s="22" t="s">
        <v>22</v>
      </c>
      <c r="C50" s="22"/>
      <c r="D50" s="23" t="s">
        <v>66</v>
      </c>
      <c r="E50" s="24" t="s">
        <v>67</v>
      </c>
      <c r="F50" s="26">
        <v>4.5</v>
      </c>
      <c r="G50" s="25">
        <v>6</v>
      </c>
      <c r="H50" s="25">
        <v>50</v>
      </c>
      <c r="I50" s="24" t="s">
        <v>25</v>
      </c>
      <c r="J50" s="12">
        <f>14.579 * IF(K50 = 980, 1, IF(K50 = 840,IF($L$3&gt;0,$L$3,1),IF(K50=982,IF($N$3&gt;0,$N$3,1))))</f>
        <v>14.579000000000001</v>
      </c>
      <c r="K50" s="13">
        <v>840</v>
      </c>
      <c r="L50" s="14">
        <f>18.95 * IF(M50 = 980, 1, IF(M50 = 840,IF($L$3&gt;0,$L$3,1),IF(M50=982,IF($N$3&gt;0,$N$3,1))))</f>
        <v>18.95</v>
      </c>
      <c r="M50" s="13">
        <v>840</v>
      </c>
    </row>
    <row r="51" spans="1:13" s="1" customFormat="1" ht="48" customHeight="1" x14ac:dyDescent="0.2">
      <c r="A51" s="21"/>
      <c r="B51" s="22"/>
      <c r="C51" s="22"/>
      <c r="D51" s="23"/>
      <c r="E51" s="24"/>
      <c r="F51" s="26"/>
      <c r="G51" s="25"/>
      <c r="H51" s="25"/>
      <c r="I51" s="24"/>
      <c r="J51" s="15" t="str">
        <f xml:space="preserve"> IF(K50 = 980, K51,IF(K50 = 840,IF($L$3&gt;0,"грн",K51),IF(K50=982,IF($N$3&gt;0,"грн",K51))))</f>
        <v>USD</v>
      </c>
      <c r="K51" s="16" t="s">
        <v>26</v>
      </c>
      <c r="L51" s="15" t="str">
        <f xml:space="preserve"> IF(M50 = 980, M51,IF(M50 = 840,IF($L$3&gt;0,"грн",M51),IF(M50=982,IF($N$3&gt;0,"грн",M51))))</f>
        <v>USD</v>
      </c>
      <c r="M51" s="16" t="s">
        <v>26</v>
      </c>
    </row>
    <row r="52" spans="1:13" s="1" customFormat="1" ht="48" customHeight="1" x14ac:dyDescent="0.2">
      <c r="A52" s="21"/>
      <c r="B52" s="22" t="s">
        <v>22</v>
      </c>
      <c r="C52" s="22"/>
      <c r="D52" s="23" t="s">
        <v>68</v>
      </c>
      <c r="E52" s="24" t="s">
        <v>69</v>
      </c>
      <c r="F52" s="25">
        <v>5</v>
      </c>
      <c r="G52" s="25">
        <v>8</v>
      </c>
      <c r="H52" s="25">
        <v>50</v>
      </c>
      <c r="I52" s="24" t="s">
        <v>25</v>
      </c>
      <c r="J52" s="12">
        <f>17.791 * IF(K52 = 980, 1, IF(K52 = 840,IF($L$3&gt;0,$L$3,1),IF(K52=982,IF($N$3&gt;0,$N$3,1))))</f>
        <v>17.791</v>
      </c>
      <c r="K52" s="13">
        <v>840</v>
      </c>
      <c r="L52" s="14">
        <f>23.13 * IF(M52 = 980, 1, IF(M52 = 840,IF($L$3&gt;0,$L$3,1),IF(M52=982,IF($N$3&gt;0,$N$3,1))))</f>
        <v>23.13</v>
      </c>
      <c r="M52" s="13">
        <v>840</v>
      </c>
    </row>
    <row r="53" spans="1:13" s="1" customFormat="1" ht="48" customHeight="1" x14ac:dyDescent="0.2">
      <c r="A53" s="21"/>
      <c r="B53" s="22"/>
      <c r="C53" s="22"/>
      <c r="D53" s="23"/>
      <c r="E53" s="24"/>
      <c r="F53" s="25"/>
      <c r="G53" s="25"/>
      <c r="H53" s="25"/>
      <c r="I53" s="24"/>
      <c r="J53" s="15" t="str">
        <f xml:space="preserve"> IF(K52 = 980, K53,IF(K52 = 840,IF($L$3&gt;0,"грн",K53),IF(K52=982,IF($N$3&gt;0,"грн",K53))))</f>
        <v>USD</v>
      </c>
      <c r="K53" s="16" t="s">
        <v>26</v>
      </c>
      <c r="L53" s="15" t="str">
        <f xml:space="preserve"> IF(M52 = 980, M53,IF(M52 = 840,IF($L$3&gt;0,"грн",M53),IF(M52=982,IF($N$3&gt;0,"грн",M53))))</f>
        <v>USD</v>
      </c>
      <c r="M53" s="16" t="s">
        <v>26</v>
      </c>
    </row>
    <row r="54" spans="1:13" s="1" customFormat="1" ht="48" customHeight="1" x14ac:dyDescent="0.2">
      <c r="A54" s="21"/>
      <c r="B54" s="22" t="s">
        <v>22</v>
      </c>
      <c r="C54" s="22"/>
      <c r="D54" s="23" t="s">
        <v>70</v>
      </c>
      <c r="E54" s="24" t="s">
        <v>71</v>
      </c>
      <c r="F54" s="25">
        <v>6</v>
      </c>
      <c r="G54" s="25">
        <v>10</v>
      </c>
      <c r="H54" s="25">
        <v>50</v>
      </c>
      <c r="I54" s="24" t="s">
        <v>25</v>
      </c>
      <c r="J54" s="12">
        <f>21.065 * IF(K54 = 980, 1, IF(K54 = 840,IF($L$3&gt;0,$L$3,1),IF(K54=982,IF($N$3&gt;0,$N$3,1))))</f>
        <v>21.065000000000001</v>
      </c>
      <c r="K54" s="13">
        <v>840</v>
      </c>
      <c r="L54" s="14">
        <f>27.38 * IF(M54 = 980, 1, IF(M54 = 840,IF($L$3&gt;0,$L$3,1),IF(M54=982,IF($N$3&gt;0,$N$3,1))))</f>
        <v>27.38</v>
      </c>
      <c r="M54" s="13">
        <v>840</v>
      </c>
    </row>
    <row r="55" spans="1:13" s="1" customFormat="1" ht="48" customHeight="1" x14ac:dyDescent="0.2">
      <c r="A55" s="21"/>
      <c r="B55" s="22"/>
      <c r="C55" s="22"/>
      <c r="D55" s="23"/>
      <c r="E55" s="24"/>
      <c r="F55" s="25"/>
      <c r="G55" s="25"/>
      <c r="H55" s="25"/>
      <c r="I55" s="24"/>
      <c r="J55" s="15" t="str">
        <f xml:space="preserve"> IF(K54 = 980, K55,IF(K54 = 840,IF($L$3&gt;0,"грн",K55),IF(K54=982,IF($N$3&gt;0,"грн",K55))))</f>
        <v>USD</v>
      </c>
      <c r="K55" s="16" t="s">
        <v>26</v>
      </c>
      <c r="L55" s="15" t="str">
        <f xml:space="preserve"> IF(M54 = 980, M55,IF(M54 = 840,IF($L$3&gt;0,"грн",M55),IF(M54=982,IF($N$3&gt;0,"грн",M55))))</f>
        <v>USD</v>
      </c>
      <c r="M55" s="16" t="s">
        <v>26</v>
      </c>
    </row>
    <row r="56" spans="1:13" s="1" customFormat="1" ht="48" customHeight="1" x14ac:dyDescent="0.2">
      <c r="A56" s="21"/>
      <c r="B56" s="22" t="s">
        <v>22</v>
      </c>
      <c r="C56" s="22"/>
      <c r="D56" s="23" t="s">
        <v>72</v>
      </c>
      <c r="E56" s="24" t="s">
        <v>73</v>
      </c>
      <c r="F56" s="26">
        <v>7.5</v>
      </c>
      <c r="G56" s="26">
        <v>12.5</v>
      </c>
      <c r="H56" s="25">
        <v>50</v>
      </c>
      <c r="I56" s="24" t="s">
        <v>25</v>
      </c>
      <c r="J56" s="12">
        <f>24.093 * IF(K56 = 980, 1, IF(K56 = 840,IF($L$3&gt;0,$L$3,1),IF(K56=982,IF($N$3&gt;0,$N$3,1))))</f>
        <v>24.093</v>
      </c>
      <c r="K56" s="13">
        <v>840</v>
      </c>
      <c r="L56" s="14">
        <f>31.32 * IF(M56 = 980, 1, IF(M56 = 840,IF($L$3&gt;0,$L$3,1),IF(M56=982,IF($N$3&gt;0,$N$3,1))))</f>
        <v>31.32</v>
      </c>
      <c r="M56" s="13">
        <v>840</v>
      </c>
    </row>
    <row r="57" spans="1:13" s="1" customFormat="1" ht="48" customHeight="1" x14ac:dyDescent="0.2">
      <c r="A57" s="21"/>
      <c r="B57" s="22"/>
      <c r="C57" s="22"/>
      <c r="D57" s="23"/>
      <c r="E57" s="24"/>
      <c r="F57" s="26"/>
      <c r="G57" s="26"/>
      <c r="H57" s="25"/>
      <c r="I57" s="24"/>
      <c r="J57" s="15" t="str">
        <f xml:space="preserve"> IF(K56 = 980, K57,IF(K56 = 840,IF($L$3&gt;0,"грн",K57),IF(K56=982,IF($N$3&gt;0,"грн",K57))))</f>
        <v>USD</v>
      </c>
      <c r="K57" s="16" t="s">
        <v>26</v>
      </c>
      <c r="L57" s="15" t="str">
        <f xml:space="preserve"> IF(M56 = 980, M57,IF(M56 = 840,IF($L$3&gt;0,"грн",M57),IF(M56=982,IF($N$3&gt;0,"грн",M57))))</f>
        <v>USD</v>
      </c>
      <c r="M57" s="16" t="s">
        <v>26</v>
      </c>
    </row>
    <row r="58" spans="1:13" s="1" customFormat="1" ht="48" customHeight="1" x14ac:dyDescent="0.2">
      <c r="A58" s="21"/>
      <c r="B58" s="22" t="s">
        <v>22</v>
      </c>
      <c r="C58" s="22"/>
      <c r="D58" s="23" t="s">
        <v>74</v>
      </c>
      <c r="E58" s="24" t="s">
        <v>75</v>
      </c>
      <c r="F58" s="25">
        <v>9</v>
      </c>
      <c r="G58" s="25">
        <v>16</v>
      </c>
      <c r="H58" s="25">
        <v>50</v>
      </c>
      <c r="I58" s="24" t="s">
        <v>25</v>
      </c>
      <c r="J58" s="12">
        <f>29.158 * IF(K58 = 980, 1, IF(K58 = 840,IF($L$3&gt;0,$L$3,1),IF(K58=982,IF($N$3&gt;0,$N$3,1))))</f>
        <v>29.158000000000001</v>
      </c>
      <c r="K58" s="13">
        <v>840</v>
      </c>
      <c r="L58" s="14">
        <f>37.91 * IF(M58 = 980, 1, IF(M58 = 840,IF($L$3&gt;0,$L$3,1),IF(M58=982,IF($N$3&gt;0,$N$3,1))))</f>
        <v>37.909999999999997</v>
      </c>
      <c r="M58" s="13">
        <v>840</v>
      </c>
    </row>
    <row r="59" spans="1:13" s="1" customFormat="1" ht="48" customHeight="1" x14ac:dyDescent="0.2">
      <c r="A59" s="21"/>
      <c r="B59" s="22"/>
      <c r="C59" s="22"/>
      <c r="D59" s="23"/>
      <c r="E59" s="24"/>
      <c r="F59" s="25"/>
      <c r="G59" s="25"/>
      <c r="H59" s="25"/>
      <c r="I59" s="24"/>
      <c r="J59" s="15" t="str">
        <f xml:space="preserve"> IF(K58 = 980, K59,IF(K58 = 840,IF($L$3&gt;0,"грн",K59),IF(K58=982,IF($N$3&gt;0,"грн",K59))))</f>
        <v>USD</v>
      </c>
      <c r="K59" s="16" t="s">
        <v>26</v>
      </c>
      <c r="L59" s="15" t="str">
        <f xml:space="preserve"> IF(M58 = 980, M59,IF(M58 = 840,IF($L$3&gt;0,"грн",M59),IF(M58=982,IF($N$3&gt;0,"грн",M59))))</f>
        <v>USD</v>
      </c>
      <c r="M59" s="16" t="s">
        <v>26</v>
      </c>
    </row>
    <row r="60" spans="1:13" s="1" customFormat="1" ht="48" customHeight="1" x14ac:dyDescent="0.2">
      <c r="A60" s="21"/>
      <c r="B60" s="22" t="s">
        <v>22</v>
      </c>
      <c r="C60" s="22"/>
      <c r="D60" s="23" t="s">
        <v>76</v>
      </c>
      <c r="E60" s="24" t="s">
        <v>77</v>
      </c>
      <c r="F60" s="25">
        <v>11</v>
      </c>
      <c r="G60" s="25">
        <v>19</v>
      </c>
      <c r="H60" s="25">
        <v>50</v>
      </c>
      <c r="I60" s="24" t="s">
        <v>25</v>
      </c>
      <c r="J60" s="12">
        <f>35.645 * IF(K60 = 980, 1, IF(K60 = 840,IF($L$3&gt;0,$L$3,1),IF(K60=982,IF($N$3&gt;0,$N$3,1))))</f>
        <v>35.645000000000003</v>
      </c>
      <c r="K60" s="13">
        <v>840</v>
      </c>
      <c r="L60" s="14">
        <f>46.34 * IF(M60 = 980, 1, IF(M60 = 840,IF($L$3&gt;0,$L$3,1),IF(M60=982,IF($N$3&gt;0,$N$3,1))))</f>
        <v>46.34</v>
      </c>
      <c r="M60" s="13">
        <v>840</v>
      </c>
    </row>
    <row r="61" spans="1:13" s="1" customFormat="1" ht="48" customHeight="1" x14ac:dyDescent="0.2">
      <c r="A61" s="21"/>
      <c r="B61" s="22"/>
      <c r="C61" s="22"/>
      <c r="D61" s="23"/>
      <c r="E61" s="24"/>
      <c r="F61" s="25"/>
      <c r="G61" s="25"/>
      <c r="H61" s="25"/>
      <c r="I61" s="24"/>
      <c r="J61" s="15" t="str">
        <f xml:space="preserve"> IF(K60 = 980, K61,IF(K60 = 840,IF($L$3&gt;0,"грн",K61),IF(K60=982,IF($N$3&gt;0,"грн",K61))))</f>
        <v>USD</v>
      </c>
      <c r="K61" s="16" t="s">
        <v>26</v>
      </c>
      <c r="L61" s="15" t="str">
        <f xml:space="preserve"> IF(M60 = 980, M61,IF(M60 = 840,IF($L$3&gt;0,"грн",M61),IF(M60=982,IF($N$3&gt;0,"грн",M61))))</f>
        <v>USD</v>
      </c>
      <c r="M61" s="16" t="s">
        <v>26</v>
      </c>
    </row>
    <row r="62" spans="1:13" s="1" customFormat="1" ht="48" customHeight="1" x14ac:dyDescent="0.2">
      <c r="A62" s="21"/>
      <c r="B62" s="22" t="s">
        <v>22</v>
      </c>
      <c r="C62" s="22"/>
      <c r="D62" s="23" t="s">
        <v>78</v>
      </c>
      <c r="E62" s="24" t="s">
        <v>79</v>
      </c>
      <c r="F62" s="25">
        <v>15</v>
      </c>
      <c r="G62" s="25">
        <v>25</v>
      </c>
      <c r="H62" s="25">
        <v>50</v>
      </c>
      <c r="I62" s="24" t="s">
        <v>25</v>
      </c>
      <c r="J62" s="12">
        <f>48.618 * IF(K62 = 980, 1, IF(K62 = 840,IF($L$3&gt;0,$L$3,1),IF(K62=982,IF($N$3&gt;0,$N$3,1))))</f>
        <v>48.618000000000002</v>
      </c>
      <c r="K62" s="13">
        <v>840</v>
      </c>
      <c r="L62" s="17">
        <f>63.2 * IF(M62 = 980, 1, IF(M62 = 840,IF($L$3&gt;0,$L$3,1),IF(M62=982,IF($N$3&gt;0,$N$3,1))))</f>
        <v>63.2</v>
      </c>
      <c r="M62" s="13">
        <v>840</v>
      </c>
    </row>
    <row r="63" spans="1:13" s="1" customFormat="1" ht="48" customHeight="1" x14ac:dyDescent="0.2">
      <c r="A63" s="21"/>
      <c r="B63" s="22"/>
      <c r="C63" s="22"/>
      <c r="D63" s="23"/>
      <c r="E63" s="24"/>
      <c r="F63" s="25"/>
      <c r="G63" s="25"/>
      <c r="H63" s="25"/>
      <c r="I63" s="24"/>
      <c r="J63" s="15" t="str">
        <f xml:space="preserve"> IF(K62 = 980, K63,IF(K62 = 840,IF($L$3&gt;0,"грн",K63),IF(K62=982,IF($N$3&gt;0,"грн",K63))))</f>
        <v>USD</v>
      </c>
      <c r="K63" s="16" t="s">
        <v>26</v>
      </c>
      <c r="L63" s="15" t="str">
        <f xml:space="preserve"> IF(M62 = 980, M63,IF(M62 = 840,IF($L$3&gt;0,"грн",M63),IF(M62=982,IF($N$3&gt;0,"грн",M63))))</f>
        <v>USD</v>
      </c>
      <c r="M63" s="16" t="s">
        <v>26</v>
      </c>
    </row>
    <row r="64" spans="1:13" s="1" customFormat="1" ht="48" customHeight="1" x14ac:dyDescent="0.2">
      <c r="A64" s="28"/>
      <c r="B64" s="29" t="s">
        <v>29</v>
      </c>
      <c r="C64" s="30" t="s">
        <v>22</v>
      </c>
      <c r="D64" s="31" t="s">
        <v>80</v>
      </c>
      <c r="E64" s="32" t="s">
        <v>81</v>
      </c>
      <c r="F64" s="33">
        <v>13.5</v>
      </c>
      <c r="G64" s="34">
        <v>32</v>
      </c>
      <c r="H64" s="34">
        <v>25</v>
      </c>
      <c r="I64" s="32" t="s">
        <v>25</v>
      </c>
      <c r="J64" s="12">
        <f>40.463 * IF(K64 = 980, 1, IF(K64 = 840,IF($L$3&gt;0,$L$3,1),IF(K64=982,IF($N$3&gt;0,$N$3,1))))</f>
        <v>40.463000000000001</v>
      </c>
      <c r="K64" s="13">
        <v>840</v>
      </c>
      <c r="L64" s="17">
        <f>52.6 * IF(M64 = 980, 1, IF(M64 = 840,IF($L$3&gt;0,$L$3,1),IF(M64=982,IF($N$3&gt;0,$N$3,1))))</f>
        <v>52.6</v>
      </c>
      <c r="M64" s="13">
        <v>840</v>
      </c>
    </row>
    <row r="65" spans="1:13" s="1" customFormat="1" ht="48" customHeight="1" x14ac:dyDescent="0.2">
      <c r="A65" s="28"/>
      <c r="B65" s="29"/>
      <c r="C65" s="30"/>
      <c r="D65" s="31"/>
      <c r="E65" s="32"/>
      <c r="F65" s="33"/>
      <c r="G65" s="34"/>
      <c r="H65" s="34"/>
      <c r="I65" s="32"/>
      <c r="J65" s="15" t="str">
        <f xml:space="preserve"> IF(K64 = 980, K65,IF(K64 = 840,IF($L$3&gt;0,"грн",K65),IF(K64=982,IF($N$3&gt;0,"грн",K65))))</f>
        <v>USD</v>
      </c>
      <c r="K65" s="16" t="s">
        <v>26</v>
      </c>
      <c r="L65" s="15" t="str">
        <f xml:space="preserve"> IF(M64 = 980, M65,IF(M64 = 840,IF($L$3&gt;0,"грн",M65),IF(M64=982,IF($N$3&gt;0,"грн",M65))))</f>
        <v>USD</v>
      </c>
      <c r="M65" s="16" t="s">
        <v>26</v>
      </c>
    </row>
    <row r="66" spans="1:13" s="1" customFormat="1" ht="48" customHeight="1" x14ac:dyDescent="0.2">
      <c r="A66" s="21"/>
      <c r="B66" s="22" t="s">
        <v>22</v>
      </c>
      <c r="C66" s="22"/>
      <c r="D66" s="23" t="s">
        <v>82</v>
      </c>
      <c r="E66" s="24" t="s">
        <v>83</v>
      </c>
      <c r="F66" s="25">
        <v>26</v>
      </c>
      <c r="G66" s="25">
        <v>32</v>
      </c>
      <c r="H66" s="25">
        <v>50</v>
      </c>
      <c r="I66" s="24" t="s">
        <v>25</v>
      </c>
      <c r="J66" s="12">
        <f>80.927 * IF(K66 = 980, 1, IF(K66 = 840,IF($L$3&gt;0,$L$3,1),IF(K66=982,IF($N$3&gt;0,$N$3,1))))</f>
        <v>80.927000000000007</v>
      </c>
      <c r="K66" s="13">
        <v>840</v>
      </c>
      <c r="L66" s="14">
        <f>105.21 * IF(M66 = 980, 1, IF(M66 = 840,IF($L$3&gt;0,$L$3,1),IF(M66=982,IF($N$3&gt;0,$N$3,1))))</f>
        <v>105.21</v>
      </c>
      <c r="M66" s="13">
        <v>840</v>
      </c>
    </row>
    <row r="67" spans="1:13" s="1" customFormat="1" ht="48" customHeight="1" x14ac:dyDescent="0.2">
      <c r="A67" s="21"/>
      <c r="B67" s="22"/>
      <c r="C67" s="22"/>
      <c r="D67" s="23"/>
      <c r="E67" s="24"/>
      <c r="F67" s="25"/>
      <c r="G67" s="25"/>
      <c r="H67" s="25"/>
      <c r="I67" s="24"/>
      <c r="J67" s="15" t="str">
        <f xml:space="preserve"> IF(K66 = 980, K67,IF(K66 = 840,IF($L$3&gt;0,"грн",K67),IF(K66=982,IF($N$3&gt;0,"грн",K67))))</f>
        <v>USD</v>
      </c>
      <c r="K67" s="16" t="s">
        <v>26</v>
      </c>
      <c r="L67" s="15" t="str">
        <f xml:space="preserve"> IF(M66 = 980, M67,IF(M66 = 840,IF($L$3&gt;0,"грн",M67),IF(M66=982,IF($N$3&gt;0,"грн",M67))))</f>
        <v>USD</v>
      </c>
      <c r="M67" s="16" t="s">
        <v>26</v>
      </c>
    </row>
    <row r="68" spans="1:13" ht="16.05" customHeight="1" x14ac:dyDescent="0.3">
      <c r="A68" s="10" t="s">
        <v>84</v>
      </c>
      <c r="B68" s="11"/>
      <c r="C68" s="11"/>
      <c r="D68" s="11"/>
      <c r="E68" s="11"/>
      <c r="F68" s="11"/>
      <c r="G68" s="11"/>
      <c r="H68" s="11"/>
      <c r="I68" s="11"/>
      <c r="J68" s="11"/>
    </row>
    <row r="69" spans="1:13" s="1" customFormat="1" ht="48" customHeight="1" x14ac:dyDescent="0.2">
      <c r="A69" s="21"/>
      <c r="B69" s="22" t="s">
        <v>22</v>
      </c>
      <c r="C69" s="22"/>
      <c r="D69" s="23" t="s">
        <v>85</v>
      </c>
      <c r="E69" s="24" t="s">
        <v>86</v>
      </c>
      <c r="F69" s="26">
        <v>4.4000000000000004</v>
      </c>
      <c r="G69" s="25">
        <v>25</v>
      </c>
      <c r="H69" s="25">
        <v>25</v>
      </c>
      <c r="I69" s="24" t="s">
        <v>25</v>
      </c>
      <c r="J69" s="14">
        <f>11.37 * IF(K69 = 980, 1, IF(K69 = 840,IF($L$3&gt;0,$L$3,1),IF(K69=982,IF($N$3&gt;0,$N$3,1))))</f>
        <v>11.37</v>
      </c>
      <c r="K69" s="13">
        <v>840</v>
      </c>
      <c r="L69" s="14">
        <f>14.78 * IF(M69 = 980, 1, IF(M69 = 840,IF($L$3&gt;0,$L$3,1),IF(M69=982,IF($N$3&gt;0,$N$3,1))))</f>
        <v>14.78</v>
      </c>
      <c r="M69" s="13">
        <v>840</v>
      </c>
    </row>
    <row r="70" spans="1:13" s="1" customFormat="1" ht="48" customHeight="1" x14ac:dyDescent="0.2">
      <c r="A70" s="21"/>
      <c r="B70" s="22"/>
      <c r="C70" s="22"/>
      <c r="D70" s="23"/>
      <c r="E70" s="24"/>
      <c r="F70" s="26"/>
      <c r="G70" s="25"/>
      <c r="H70" s="25"/>
      <c r="I70" s="24"/>
      <c r="J70" s="15" t="str">
        <f xml:space="preserve"> IF(K69 = 980, K70,IF(K69 = 840,IF($L$3&gt;0,"грн",K70),IF(K69=982,IF($N$3&gt;0,"грн",K70))))</f>
        <v>USD</v>
      </c>
      <c r="K70" s="16" t="s">
        <v>26</v>
      </c>
      <c r="L70" s="15" t="str">
        <f xml:space="preserve"> IF(M69 = 980, M70,IF(M69 = 840,IF($L$3&gt;0,"грн",M70),IF(M69=982,IF($N$3&gt;0,"грн",M70))))</f>
        <v>USD</v>
      </c>
      <c r="M70" s="16" t="s">
        <v>26</v>
      </c>
    </row>
    <row r="71" spans="1:13" s="1" customFormat="1" ht="48" customHeight="1" x14ac:dyDescent="0.2">
      <c r="A71" s="21"/>
      <c r="B71" s="22" t="s">
        <v>22</v>
      </c>
      <c r="C71" s="22"/>
      <c r="D71" s="23" t="s">
        <v>87</v>
      </c>
      <c r="E71" s="24" t="s">
        <v>88</v>
      </c>
      <c r="F71" s="26">
        <v>4.4000000000000004</v>
      </c>
      <c r="G71" s="25">
        <v>32</v>
      </c>
      <c r="H71" s="25">
        <v>25</v>
      </c>
      <c r="I71" s="24" t="s">
        <v>25</v>
      </c>
      <c r="J71" s="12">
        <f>14.288 * IF(K71 = 980, 1, IF(K71 = 840,IF($L$3&gt;0,$L$3,1),IF(K71=982,IF($N$3&gt;0,$N$3,1))))</f>
        <v>14.288</v>
      </c>
      <c r="K71" s="13">
        <v>840</v>
      </c>
      <c r="L71" s="14">
        <f>18.57 * IF(M71 = 980, 1, IF(M71 = 840,IF($L$3&gt;0,$L$3,1),IF(M71=982,IF($N$3&gt;0,$N$3,1))))</f>
        <v>18.57</v>
      </c>
      <c r="M71" s="13">
        <v>840</v>
      </c>
    </row>
    <row r="72" spans="1:13" s="1" customFormat="1" ht="48" customHeight="1" x14ac:dyDescent="0.2">
      <c r="A72" s="21"/>
      <c r="B72" s="22"/>
      <c r="C72" s="22"/>
      <c r="D72" s="23"/>
      <c r="E72" s="24"/>
      <c r="F72" s="26"/>
      <c r="G72" s="25"/>
      <c r="H72" s="25"/>
      <c r="I72" s="24"/>
      <c r="J72" s="15" t="str">
        <f xml:space="preserve"> IF(K71 = 980, K72,IF(K71 = 840,IF($L$3&gt;0,"грн",K72),IF(K71=982,IF($N$3&gt;0,"грн",K72))))</f>
        <v>USD</v>
      </c>
      <c r="K72" s="16" t="s">
        <v>26</v>
      </c>
      <c r="L72" s="15" t="str">
        <f xml:space="preserve"> IF(M71 = 980, M72,IF(M71 = 840,IF($L$3&gt;0,"грн",M72),IF(M71=982,IF($N$3&gt;0,"грн",M72))))</f>
        <v>USD</v>
      </c>
      <c r="M72" s="16" t="s">
        <v>26</v>
      </c>
    </row>
    <row r="73" spans="1:13" s="1" customFormat="1" ht="48" customHeight="1" x14ac:dyDescent="0.2">
      <c r="A73" s="21"/>
      <c r="B73" s="22" t="s">
        <v>22</v>
      </c>
      <c r="C73" s="22"/>
      <c r="D73" s="23" t="s">
        <v>89</v>
      </c>
      <c r="E73" s="24" t="s">
        <v>90</v>
      </c>
      <c r="F73" s="25">
        <v>6</v>
      </c>
      <c r="G73" s="25">
        <v>40</v>
      </c>
      <c r="H73" s="25">
        <v>25</v>
      </c>
      <c r="I73" s="24" t="s">
        <v>25</v>
      </c>
      <c r="J73" s="12">
        <f>20.835 * IF(K73 = 980, 1, IF(K73 = 840,IF($L$3&gt;0,$L$3,1),IF(K73=982,IF($N$3&gt;0,$N$3,1))))</f>
        <v>20.835000000000001</v>
      </c>
      <c r="K73" s="13">
        <v>840</v>
      </c>
      <c r="L73" s="14">
        <f>27.09 * IF(M73 = 980, 1, IF(M73 = 840,IF($L$3&gt;0,$L$3,1),IF(M73=982,IF($N$3&gt;0,$N$3,1))))</f>
        <v>27.09</v>
      </c>
      <c r="M73" s="13">
        <v>840</v>
      </c>
    </row>
    <row r="74" spans="1:13" s="1" customFormat="1" ht="48" customHeight="1" x14ac:dyDescent="0.2">
      <c r="A74" s="21"/>
      <c r="B74" s="22"/>
      <c r="C74" s="22"/>
      <c r="D74" s="23"/>
      <c r="E74" s="24"/>
      <c r="F74" s="25"/>
      <c r="G74" s="25"/>
      <c r="H74" s="25"/>
      <c r="I74" s="24"/>
      <c r="J74" s="15" t="str">
        <f xml:space="preserve"> IF(K73 = 980, K74,IF(K73 = 840,IF($L$3&gt;0,"грн",K74),IF(K73=982,IF($N$3&gt;0,"грн",K74))))</f>
        <v>USD</v>
      </c>
      <c r="K74" s="16" t="s">
        <v>26</v>
      </c>
      <c r="L74" s="15" t="str">
        <f xml:space="preserve"> IF(M73 = 980, M74,IF(M73 = 840,IF($L$3&gt;0,"грн",M74),IF(M73=982,IF($N$3&gt;0,"грн",M74))))</f>
        <v>USD</v>
      </c>
      <c r="M74" s="16" t="s">
        <v>26</v>
      </c>
    </row>
    <row r="75" spans="1:13" s="1" customFormat="1" ht="48" customHeight="1" x14ac:dyDescent="0.2">
      <c r="A75" s="21"/>
      <c r="B75" s="22" t="s">
        <v>22</v>
      </c>
      <c r="C75" s="22"/>
      <c r="D75" s="23" t="s">
        <v>91</v>
      </c>
      <c r="E75" s="24" t="s">
        <v>92</v>
      </c>
      <c r="F75" s="25">
        <v>9</v>
      </c>
      <c r="G75" s="25">
        <v>50</v>
      </c>
      <c r="H75" s="25">
        <v>25</v>
      </c>
      <c r="I75" s="24" t="s">
        <v>42</v>
      </c>
      <c r="J75" s="12">
        <f>28.783 * IF(K75 = 980, 1, IF(K75 = 840,IF($L$3&gt;0,$L$3,1),IF(K75=982,IF($N$3&gt;0,$N$3,1))))</f>
        <v>28.783000000000001</v>
      </c>
      <c r="K75" s="13">
        <v>840</v>
      </c>
      <c r="L75" s="14">
        <f>37.42 * IF(M75 = 980, 1, IF(M75 = 840,IF($L$3&gt;0,$L$3,1),IF(M75=982,IF($N$3&gt;0,$N$3,1))))</f>
        <v>37.42</v>
      </c>
      <c r="M75" s="13">
        <v>840</v>
      </c>
    </row>
    <row r="76" spans="1:13" s="1" customFormat="1" ht="48" customHeight="1" x14ac:dyDescent="0.2">
      <c r="A76" s="21"/>
      <c r="B76" s="22"/>
      <c r="C76" s="22"/>
      <c r="D76" s="23"/>
      <c r="E76" s="24"/>
      <c r="F76" s="25"/>
      <c r="G76" s="25"/>
      <c r="H76" s="25"/>
      <c r="I76" s="24"/>
      <c r="J76" s="15" t="str">
        <f xml:space="preserve"> IF(K75 = 980, K76,IF(K75 = 840,IF($L$3&gt;0,"грн",K76),IF(K75=982,IF($N$3&gt;0,"грн",K76))))</f>
        <v>USD</v>
      </c>
      <c r="K76" s="16" t="s">
        <v>26</v>
      </c>
      <c r="L76" s="15" t="str">
        <f xml:space="preserve"> IF(M75 = 980, M76,IF(M75 = 840,IF($L$3&gt;0,"грн",M76),IF(M75=982,IF($N$3&gt;0,"грн",M76))))</f>
        <v>USD</v>
      </c>
      <c r="M76" s="16" t="s">
        <v>26</v>
      </c>
    </row>
    <row r="77" spans="1:13" s="1" customFormat="1" ht="48" customHeight="1" x14ac:dyDescent="0.2">
      <c r="A77" s="21"/>
      <c r="B77" s="22" t="s">
        <v>22</v>
      </c>
      <c r="C77" s="22"/>
      <c r="D77" s="23" t="s">
        <v>93</v>
      </c>
      <c r="E77" s="24" t="s">
        <v>94</v>
      </c>
      <c r="F77" s="25">
        <v>14</v>
      </c>
      <c r="G77" s="25">
        <v>40</v>
      </c>
      <c r="H77" s="25">
        <v>25</v>
      </c>
      <c r="I77" s="24" t="s">
        <v>51</v>
      </c>
      <c r="J77" s="12">
        <f>47.259 * IF(K77 = 980, 1, IF(K77 = 840,IF($L$3&gt;0,$L$3,1),IF(K77=982,IF($N$3&gt;0,$N$3,1))))</f>
        <v>47.259</v>
      </c>
      <c r="K77" s="13">
        <v>840</v>
      </c>
      <c r="L77" s="14">
        <f>61.44 * IF(M77 = 980, 1, IF(M77 = 840,IF($L$3&gt;0,$L$3,1),IF(M77=982,IF($N$3&gt;0,$N$3,1))))</f>
        <v>61.44</v>
      </c>
      <c r="M77" s="13">
        <v>840</v>
      </c>
    </row>
    <row r="78" spans="1:13" s="1" customFormat="1" ht="48" customHeight="1" x14ac:dyDescent="0.2">
      <c r="A78" s="21"/>
      <c r="B78" s="22"/>
      <c r="C78" s="22"/>
      <c r="D78" s="23"/>
      <c r="E78" s="24"/>
      <c r="F78" s="25"/>
      <c r="G78" s="25"/>
      <c r="H78" s="25"/>
      <c r="I78" s="24"/>
      <c r="J78" s="15" t="str">
        <f xml:space="preserve"> IF(K77 = 980, K78,IF(K77 = 840,IF($L$3&gt;0,"грн",K78),IF(K77=982,IF($N$3&gt;0,"грн",K78))))</f>
        <v>USD</v>
      </c>
      <c r="K78" s="16" t="s">
        <v>26</v>
      </c>
      <c r="L78" s="15" t="str">
        <f xml:space="preserve"> IF(M77 = 980, M78,IF(M77 = 840,IF($L$3&gt;0,"грн",M78),IF(M77=982,IF($N$3&gt;0,"грн",M78))))</f>
        <v>USD</v>
      </c>
      <c r="M78" s="16" t="s">
        <v>26</v>
      </c>
    </row>
    <row r="79" spans="1:13" s="1" customFormat="1" ht="48" customHeight="1" x14ac:dyDescent="0.2">
      <c r="A79" s="21"/>
      <c r="B79" s="22" t="s">
        <v>22</v>
      </c>
      <c r="C79" s="22"/>
      <c r="D79" s="23" t="s">
        <v>95</v>
      </c>
      <c r="E79" s="24" t="s">
        <v>96</v>
      </c>
      <c r="F79" s="25">
        <v>38</v>
      </c>
      <c r="G79" s="25">
        <v>75</v>
      </c>
      <c r="H79" s="25">
        <v>25</v>
      </c>
      <c r="I79" s="24" t="s">
        <v>51</v>
      </c>
      <c r="J79" s="12">
        <f>128.185 * IF(K79 = 980, 1, IF(K79 = 840,IF($L$3&gt;0,$L$3,1),IF(K79=982,IF($N$3&gt;0,$N$3,1))))</f>
        <v>128.185</v>
      </c>
      <c r="K79" s="13">
        <v>840</v>
      </c>
      <c r="L79" s="14">
        <f>166.64 * IF(M79 = 980, 1, IF(M79 = 840,IF($L$3&gt;0,$L$3,1),IF(M79=982,IF($N$3&gt;0,$N$3,1))))</f>
        <v>166.64</v>
      </c>
      <c r="M79" s="13">
        <v>840</v>
      </c>
    </row>
    <row r="80" spans="1:13" s="1" customFormat="1" ht="48" customHeight="1" x14ac:dyDescent="0.2">
      <c r="A80" s="21"/>
      <c r="B80" s="22"/>
      <c r="C80" s="22"/>
      <c r="D80" s="23"/>
      <c r="E80" s="24"/>
      <c r="F80" s="25"/>
      <c r="G80" s="25"/>
      <c r="H80" s="25"/>
      <c r="I80" s="24"/>
      <c r="J80" s="15" t="str">
        <f xml:space="preserve"> IF(K79 = 980, K80,IF(K79 = 840,IF($L$3&gt;0,"грн",K80),IF(K79=982,IF($N$3&gt;0,"грн",K80))))</f>
        <v>USD</v>
      </c>
      <c r="K80" s="16" t="s">
        <v>26</v>
      </c>
      <c r="L80" s="15" t="str">
        <f xml:space="preserve"> IF(M79 = 980, M80,IF(M79 = 840,IF($L$3&gt;0,"грн",M80),IF(M79=982,IF($N$3&gt;0,"грн",M80))))</f>
        <v>USD</v>
      </c>
      <c r="M80" s="16" t="s">
        <v>26</v>
      </c>
    </row>
    <row r="81" spans="1:13" s="1" customFormat="1" ht="48" customHeight="1" x14ac:dyDescent="0.2">
      <c r="A81" s="21"/>
      <c r="B81" s="22" t="s">
        <v>22</v>
      </c>
      <c r="C81" s="22"/>
      <c r="D81" s="23" t="s">
        <v>97</v>
      </c>
      <c r="E81" s="24" t="s">
        <v>98</v>
      </c>
      <c r="F81" s="25">
        <v>60</v>
      </c>
      <c r="G81" s="25">
        <v>100</v>
      </c>
      <c r="H81" s="25">
        <v>25</v>
      </c>
      <c r="I81" s="24" t="s">
        <v>51</v>
      </c>
      <c r="J81" s="12">
        <f>202.934 * IF(K81 = 980, 1, IF(K81 = 840,IF($L$3&gt;0,$L$3,1),IF(K81=982,IF($N$3&gt;0,$N$3,1))))</f>
        <v>202.934</v>
      </c>
      <c r="K81" s="13">
        <v>840</v>
      </c>
      <c r="L81" s="14">
        <f>263.81 * IF(M81 = 980, 1, IF(M81 = 840,IF($L$3&gt;0,$L$3,1),IF(M81=982,IF($N$3&gt;0,$N$3,1))))</f>
        <v>263.81</v>
      </c>
      <c r="M81" s="13">
        <v>840</v>
      </c>
    </row>
    <row r="82" spans="1:13" s="1" customFormat="1" ht="48" customHeight="1" x14ac:dyDescent="0.2">
      <c r="A82" s="21"/>
      <c r="B82" s="22"/>
      <c r="C82" s="22"/>
      <c r="D82" s="23"/>
      <c r="E82" s="24"/>
      <c r="F82" s="25"/>
      <c r="G82" s="25"/>
      <c r="H82" s="25"/>
      <c r="I82" s="24"/>
      <c r="J82" s="15" t="str">
        <f xml:space="preserve"> IF(K81 = 980, K82,IF(K81 = 840,IF($L$3&gt;0,"грн",K82),IF(K81=982,IF($N$3&gt;0,"грн",K82))))</f>
        <v>USD</v>
      </c>
      <c r="K82" s="16" t="s">
        <v>26</v>
      </c>
      <c r="L82" s="15" t="str">
        <f xml:space="preserve"> IF(M81 = 980, M82,IF(M81 = 840,IF($L$3&gt;0,"грн",M82),IF(M81=982,IF($N$3&gt;0,"грн",M82))))</f>
        <v>USD</v>
      </c>
      <c r="M82" s="16" t="s">
        <v>26</v>
      </c>
    </row>
    <row r="83" spans="1:13" s="1" customFormat="1" ht="48" customHeight="1" x14ac:dyDescent="0.2">
      <c r="A83" s="21"/>
      <c r="B83" s="22" t="s">
        <v>22</v>
      </c>
      <c r="C83" s="22"/>
      <c r="D83" s="23" t="s">
        <v>99</v>
      </c>
      <c r="E83" s="24" t="s">
        <v>100</v>
      </c>
      <c r="F83" s="25">
        <v>6</v>
      </c>
      <c r="G83" s="25">
        <v>40</v>
      </c>
      <c r="H83" s="25">
        <v>25</v>
      </c>
      <c r="I83" s="24" t="s">
        <v>51</v>
      </c>
      <c r="J83" s="12">
        <f>20.386 * IF(K83 = 980, 1, IF(K83 = 840,IF($L$3&gt;0,$L$3,1),IF(K83=982,IF($N$3&gt;0,$N$3,1))))</f>
        <v>20.385999999999999</v>
      </c>
      <c r="K83" s="13">
        <v>840</v>
      </c>
      <c r="L83" s="17">
        <f>26.5 * IF(M83 = 980, 1, IF(M83 = 840,IF($L$3&gt;0,$L$3,1),IF(M83=982,IF($N$3&gt;0,$N$3,1))))</f>
        <v>26.5</v>
      </c>
      <c r="M83" s="13">
        <v>840</v>
      </c>
    </row>
    <row r="84" spans="1:13" s="1" customFormat="1" ht="48" customHeight="1" x14ac:dyDescent="0.2">
      <c r="A84" s="21"/>
      <c r="B84" s="22"/>
      <c r="C84" s="22"/>
      <c r="D84" s="23"/>
      <c r="E84" s="24"/>
      <c r="F84" s="25"/>
      <c r="G84" s="25"/>
      <c r="H84" s="25"/>
      <c r="I84" s="24"/>
      <c r="J84" s="15" t="str">
        <f xml:space="preserve"> IF(K83 = 980, K84,IF(K83 = 840,IF($L$3&gt;0,"грн",K84),IF(K83=982,IF($N$3&gt;0,"грн",K84))))</f>
        <v>USD</v>
      </c>
      <c r="K84" s="16" t="s">
        <v>26</v>
      </c>
      <c r="L84" s="15" t="str">
        <f xml:space="preserve"> IF(M83 = 980, M84,IF(M83 = 840,IF($L$3&gt;0,"грн",M84),IF(M83=982,IF($N$3&gt;0,"грн",M84))))</f>
        <v>USD</v>
      </c>
      <c r="M84" s="16" t="s">
        <v>26</v>
      </c>
    </row>
    <row r="85" spans="1:13" s="1" customFormat="1" ht="48" customHeight="1" x14ac:dyDescent="0.2">
      <c r="A85" s="21"/>
      <c r="B85" s="22" t="s">
        <v>22</v>
      </c>
      <c r="C85" s="22"/>
      <c r="D85" s="23" t="s">
        <v>101</v>
      </c>
      <c r="E85" s="24" t="s">
        <v>102</v>
      </c>
      <c r="F85" s="25">
        <v>15</v>
      </c>
      <c r="G85" s="25">
        <v>50</v>
      </c>
      <c r="H85" s="25">
        <v>25</v>
      </c>
      <c r="I85" s="24" t="s">
        <v>51</v>
      </c>
      <c r="J85" s="12">
        <f>50.656 * IF(K85 = 980, 1, IF(K85 = 840,IF($L$3&gt;0,$L$3,1),IF(K85=982,IF($N$3&gt;0,$N$3,1))))</f>
        <v>50.655999999999999</v>
      </c>
      <c r="K85" s="13">
        <v>840</v>
      </c>
      <c r="L85" s="14">
        <f>65.85 * IF(M85 = 980, 1, IF(M85 = 840,IF($L$3&gt;0,$L$3,1),IF(M85=982,IF($N$3&gt;0,$N$3,1))))</f>
        <v>65.849999999999994</v>
      </c>
      <c r="M85" s="13">
        <v>840</v>
      </c>
    </row>
    <row r="86" spans="1:13" s="1" customFormat="1" ht="48" customHeight="1" x14ac:dyDescent="0.2">
      <c r="A86" s="21"/>
      <c r="B86" s="22"/>
      <c r="C86" s="22"/>
      <c r="D86" s="23"/>
      <c r="E86" s="24"/>
      <c r="F86" s="25"/>
      <c r="G86" s="25"/>
      <c r="H86" s="25"/>
      <c r="I86" s="24"/>
      <c r="J86" s="15" t="str">
        <f xml:space="preserve"> IF(K85 = 980, K86,IF(K85 = 840,IF($L$3&gt;0,"грн",K86),IF(K85=982,IF($N$3&gt;0,"грн",K86))))</f>
        <v>USD</v>
      </c>
      <c r="K86" s="16" t="s">
        <v>26</v>
      </c>
      <c r="L86" s="15" t="str">
        <f xml:space="preserve"> IF(M85 = 980, M86,IF(M85 = 840,IF($L$3&gt;0,"грн",M86),IF(M85=982,IF($N$3&gt;0,"грн",M86))))</f>
        <v>USD</v>
      </c>
      <c r="M86" s="16" t="s">
        <v>26</v>
      </c>
    </row>
    <row r="87" spans="1:13" ht="16.05" customHeight="1" x14ac:dyDescent="0.3">
      <c r="A87" s="10" t="s">
        <v>103</v>
      </c>
      <c r="B87" s="11"/>
      <c r="C87" s="11"/>
      <c r="D87" s="11"/>
      <c r="E87" s="11"/>
      <c r="F87" s="11"/>
      <c r="G87" s="11"/>
      <c r="H87" s="11"/>
      <c r="I87" s="11"/>
      <c r="J87" s="11"/>
    </row>
    <row r="88" spans="1:13" s="1" customFormat="1" ht="48" customHeight="1" x14ac:dyDescent="0.2">
      <c r="A88" s="21"/>
      <c r="B88" s="22" t="s">
        <v>22</v>
      </c>
      <c r="C88" s="22"/>
      <c r="D88" s="23" t="s">
        <v>104</v>
      </c>
      <c r="E88" s="24" t="s">
        <v>105</v>
      </c>
      <c r="F88" s="26">
        <v>3.8</v>
      </c>
      <c r="G88" s="25">
        <v>19</v>
      </c>
      <c r="H88" s="25">
        <v>20</v>
      </c>
      <c r="I88" s="24" t="s">
        <v>25</v>
      </c>
      <c r="J88" s="12">
        <f>11.861 * IF(K88 = 980, 1, IF(K88 = 840,IF($L$3&gt;0,$L$3,1),IF(K88=982,IF($N$3&gt;0,$N$3,1))))</f>
        <v>11.861000000000001</v>
      </c>
      <c r="K88" s="13">
        <v>840</v>
      </c>
      <c r="L88" s="14">
        <f>15.42 * IF(M88 = 980, 1, IF(M88 = 840,IF($L$3&gt;0,$L$3,1),IF(M88=982,IF($N$3&gt;0,$N$3,1))))</f>
        <v>15.42</v>
      </c>
      <c r="M88" s="13">
        <v>840</v>
      </c>
    </row>
    <row r="89" spans="1:13" s="1" customFormat="1" ht="48" customHeight="1" x14ac:dyDescent="0.2">
      <c r="A89" s="21"/>
      <c r="B89" s="22"/>
      <c r="C89" s="22"/>
      <c r="D89" s="23"/>
      <c r="E89" s="24"/>
      <c r="F89" s="26"/>
      <c r="G89" s="25"/>
      <c r="H89" s="25"/>
      <c r="I89" s="24"/>
      <c r="J89" s="15" t="str">
        <f xml:space="preserve"> IF(K88 = 980, K89,IF(K88 = 840,IF($L$3&gt;0,"грн",K89),IF(K88=982,IF($N$3&gt;0,"грн",K89))))</f>
        <v>USD</v>
      </c>
      <c r="K89" s="16" t="s">
        <v>26</v>
      </c>
      <c r="L89" s="15" t="str">
        <f xml:space="preserve"> IF(M88 = 980, M89,IF(M88 = 840,IF($L$3&gt;0,"грн",M89),IF(M88=982,IF($N$3&gt;0,"грн",M89))))</f>
        <v>USD</v>
      </c>
      <c r="M89" s="16" t="s">
        <v>26</v>
      </c>
    </row>
    <row r="90" spans="1:13" s="1" customFormat="1" ht="48" customHeight="1" x14ac:dyDescent="0.2">
      <c r="A90" s="21"/>
      <c r="B90" s="22" t="s">
        <v>22</v>
      </c>
      <c r="C90" s="22"/>
      <c r="D90" s="23" t="s">
        <v>106</v>
      </c>
      <c r="E90" s="24" t="s">
        <v>107</v>
      </c>
      <c r="F90" s="26">
        <v>5.7</v>
      </c>
      <c r="G90" s="25">
        <v>19</v>
      </c>
      <c r="H90" s="25">
        <v>30</v>
      </c>
      <c r="I90" s="24" t="s">
        <v>25</v>
      </c>
      <c r="J90" s="12">
        <f>17.791 * IF(K90 = 980, 1, IF(K90 = 840,IF($L$3&gt;0,$L$3,1),IF(K90=982,IF($N$3&gt;0,$N$3,1))))</f>
        <v>17.791</v>
      </c>
      <c r="K90" s="13">
        <v>840</v>
      </c>
      <c r="L90" s="14">
        <f>23.13 * IF(M90 = 980, 1, IF(M90 = 840,IF($L$3&gt;0,$L$3,1),IF(M90=982,IF($N$3&gt;0,$N$3,1))))</f>
        <v>23.13</v>
      </c>
      <c r="M90" s="13">
        <v>840</v>
      </c>
    </row>
    <row r="91" spans="1:13" s="1" customFormat="1" ht="48" customHeight="1" x14ac:dyDescent="0.2">
      <c r="A91" s="21"/>
      <c r="B91" s="22"/>
      <c r="C91" s="22"/>
      <c r="D91" s="23"/>
      <c r="E91" s="24"/>
      <c r="F91" s="26"/>
      <c r="G91" s="25"/>
      <c r="H91" s="25"/>
      <c r="I91" s="24"/>
      <c r="J91" s="15" t="str">
        <f xml:space="preserve"> IF(K90 = 980, K91,IF(K90 = 840,IF($L$3&gt;0,"грн",K91),IF(K90=982,IF($N$3&gt;0,"грн",K91))))</f>
        <v>USD</v>
      </c>
      <c r="K91" s="16" t="s">
        <v>26</v>
      </c>
      <c r="L91" s="15" t="str">
        <f xml:space="preserve"> IF(M90 = 980, M91,IF(M90 = 840,IF($L$3&gt;0,"грн",M91),IF(M90=982,IF($N$3&gt;0,"грн",M91))))</f>
        <v>USD</v>
      </c>
      <c r="M91" s="16" t="s">
        <v>26</v>
      </c>
    </row>
    <row r="92" spans="1:13" s="1" customFormat="1" ht="48" customHeight="1" x14ac:dyDescent="0.2">
      <c r="A92" s="21"/>
      <c r="B92" s="22" t="s">
        <v>22</v>
      </c>
      <c r="C92" s="22"/>
      <c r="D92" s="23" t="s">
        <v>108</v>
      </c>
      <c r="E92" s="24" t="s">
        <v>109</v>
      </c>
      <c r="F92" s="26">
        <v>9.5</v>
      </c>
      <c r="G92" s="25">
        <v>19</v>
      </c>
      <c r="H92" s="25">
        <v>50</v>
      </c>
      <c r="I92" s="24" t="s">
        <v>25</v>
      </c>
      <c r="J92" s="12">
        <f>29.652 * IF(K92 = 980, 1, IF(K92 = 840,IF($L$3&gt;0,$L$3,1),IF(K92=982,IF($N$3&gt;0,$N$3,1))))</f>
        <v>29.652000000000001</v>
      </c>
      <c r="K92" s="13">
        <v>840</v>
      </c>
      <c r="L92" s="14">
        <f>38.55 * IF(M92 = 980, 1, IF(M92 = 840,IF($L$3&gt;0,$L$3,1),IF(M92=982,IF($N$3&gt;0,$N$3,1))))</f>
        <v>38.549999999999997</v>
      </c>
      <c r="M92" s="13">
        <v>840</v>
      </c>
    </row>
    <row r="93" spans="1:13" s="1" customFormat="1" ht="48" customHeight="1" x14ac:dyDescent="0.2">
      <c r="A93" s="21"/>
      <c r="B93" s="22"/>
      <c r="C93" s="22"/>
      <c r="D93" s="23"/>
      <c r="E93" s="24"/>
      <c r="F93" s="26"/>
      <c r="G93" s="25"/>
      <c r="H93" s="25"/>
      <c r="I93" s="24"/>
      <c r="J93" s="15" t="str">
        <f xml:space="preserve"> IF(K92 = 980, K93,IF(K92 = 840,IF($L$3&gt;0,"грн",K93),IF(K92=982,IF($N$3&gt;0,"грн",K93))))</f>
        <v>USD</v>
      </c>
      <c r="K93" s="16" t="s">
        <v>26</v>
      </c>
      <c r="L93" s="15" t="str">
        <f xml:space="preserve"> IF(M92 = 980, M93,IF(M92 = 840,IF($L$3&gt;0,"грн",M93),IF(M92=982,IF($N$3&gt;0,"грн",M93))))</f>
        <v>USD</v>
      </c>
      <c r="M93" s="16" t="s">
        <v>26</v>
      </c>
    </row>
    <row r="94" spans="1:13" ht="16.05" customHeight="1" x14ac:dyDescent="0.3">
      <c r="A94" s="10" t="s">
        <v>110</v>
      </c>
      <c r="B94" s="11"/>
      <c r="C94" s="11"/>
      <c r="D94" s="11"/>
      <c r="E94" s="11"/>
      <c r="F94" s="11"/>
      <c r="G94" s="11"/>
      <c r="H94" s="11"/>
      <c r="I94" s="11"/>
      <c r="J94" s="11"/>
    </row>
    <row r="95" spans="1:13" s="1" customFormat="1" ht="48" customHeight="1" x14ac:dyDescent="0.2">
      <c r="A95" s="21"/>
      <c r="B95" s="22" t="s">
        <v>22</v>
      </c>
      <c r="C95" s="22"/>
      <c r="D95" s="23" t="s">
        <v>111</v>
      </c>
      <c r="E95" s="24" t="s">
        <v>112</v>
      </c>
      <c r="F95" s="25">
        <v>3</v>
      </c>
      <c r="G95" s="25">
        <v>18</v>
      </c>
      <c r="H95" s="25">
        <v>20</v>
      </c>
      <c r="I95" s="24" t="s">
        <v>25</v>
      </c>
      <c r="J95" s="12">
        <f>8.896 * IF(K95 = 980, 1, IF(K95 = 840,IF($L$3&gt;0,$L$3,1),IF(K95=982,IF($N$3&gt;0,$N$3,1))))</f>
        <v>8.8960000000000008</v>
      </c>
      <c r="K95" s="13">
        <v>840</v>
      </c>
      <c r="L95" s="14">
        <f>11.56 * IF(M95 = 980, 1, IF(M95 = 840,IF($L$3&gt;0,$L$3,1),IF(M95=982,IF($N$3&gt;0,$N$3,1))))</f>
        <v>11.56</v>
      </c>
      <c r="M95" s="13">
        <v>840</v>
      </c>
    </row>
    <row r="96" spans="1:13" s="1" customFormat="1" ht="48" customHeight="1" x14ac:dyDescent="0.2">
      <c r="A96" s="21"/>
      <c r="B96" s="22"/>
      <c r="C96" s="22"/>
      <c r="D96" s="23"/>
      <c r="E96" s="24"/>
      <c r="F96" s="25"/>
      <c r="G96" s="25"/>
      <c r="H96" s="25"/>
      <c r="I96" s="24"/>
      <c r="J96" s="15" t="str">
        <f xml:space="preserve"> IF(K95 = 980, K96,IF(K95 = 840,IF($L$3&gt;0,"грн",K96),IF(K95=982,IF($N$3&gt;0,"грн",K96))))</f>
        <v>USD</v>
      </c>
      <c r="K96" s="16" t="s">
        <v>26</v>
      </c>
      <c r="L96" s="15" t="str">
        <f xml:space="preserve"> IF(M95 = 980, M96,IF(M95 = 840,IF($L$3&gt;0,"грн",M96),IF(M95=982,IF($N$3&gt;0,"грн",M96))))</f>
        <v>USD</v>
      </c>
      <c r="M96" s="16" t="s">
        <v>26</v>
      </c>
    </row>
    <row r="97" spans="1:13" s="1" customFormat="1" ht="48" customHeight="1" x14ac:dyDescent="0.2">
      <c r="A97" s="21"/>
      <c r="B97" s="22" t="s">
        <v>22</v>
      </c>
      <c r="C97" s="22"/>
      <c r="D97" s="23" t="s">
        <v>113</v>
      </c>
      <c r="E97" s="24" t="s">
        <v>114</v>
      </c>
      <c r="F97" s="26">
        <v>4.5</v>
      </c>
      <c r="G97" s="25">
        <v>18</v>
      </c>
      <c r="H97" s="25">
        <v>30</v>
      </c>
      <c r="I97" s="24" t="s">
        <v>25</v>
      </c>
      <c r="J97" s="12">
        <f>13.343 * IF(K97 = 980, 1, IF(K97 = 840,IF($L$3&gt;0,$L$3,1),IF(K97=982,IF($N$3&gt;0,$N$3,1))))</f>
        <v>13.343</v>
      </c>
      <c r="K97" s="13">
        <v>840</v>
      </c>
      <c r="L97" s="14">
        <f>17.35 * IF(M97 = 980, 1, IF(M97 = 840,IF($L$3&gt;0,$L$3,1),IF(M97=982,IF($N$3&gt;0,$N$3,1))))</f>
        <v>17.350000000000001</v>
      </c>
      <c r="M97" s="13">
        <v>840</v>
      </c>
    </row>
    <row r="98" spans="1:13" s="1" customFormat="1" ht="48" customHeight="1" x14ac:dyDescent="0.2">
      <c r="A98" s="21"/>
      <c r="B98" s="22"/>
      <c r="C98" s="22"/>
      <c r="D98" s="23"/>
      <c r="E98" s="24"/>
      <c r="F98" s="26"/>
      <c r="G98" s="25"/>
      <c r="H98" s="25"/>
      <c r="I98" s="24"/>
      <c r="J98" s="15" t="str">
        <f xml:space="preserve"> IF(K97 = 980, K98,IF(K97 = 840,IF($L$3&gt;0,"грн",K98),IF(K97=982,IF($N$3&gt;0,"грн",K98))))</f>
        <v>USD</v>
      </c>
      <c r="K98" s="16" t="s">
        <v>26</v>
      </c>
      <c r="L98" s="15" t="str">
        <f xml:space="preserve"> IF(M97 = 980, M98,IF(M97 = 840,IF($L$3&gt;0,"грн",M98),IF(M97=982,IF($N$3&gt;0,"грн",M98))))</f>
        <v>USD</v>
      </c>
      <c r="M98" s="16" t="s">
        <v>26</v>
      </c>
    </row>
    <row r="99" spans="1:13" s="1" customFormat="1" ht="48" customHeight="1" x14ac:dyDescent="0.2">
      <c r="A99" s="21"/>
      <c r="B99" s="22" t="s">
        <v>22</v>
      </c>
      <c r="C99" s="22"/>
      <c r="D99" s="23" t="s">
        <v>115</v>
      </c>
      <c r="E99" s="24" t="s">
        <v>116</v>
      </c>
      <c r="F99" s="26">
        <v>7.5</v>
      </c>
      <c r="G99" s="25">
        <v>18</v>
      </c>
      <c r="H99" s="25">
        <v>50</v>
      </c>
      <c r="I99" s="24" t="s">
        <v>25</v>
      </c>
      <c r="J99" s="12">
        <f>22.239 * IF(K99 = 980, 1, IF(K99 = 840,IF($L$3&gt;0,$L$3,1),IF(K99=982,IF($N$3&gt;0,$N$3,1))))</f>
        <v>22.239000000000001</v>
      </c>
      <c r="K99" s="13">
        <v>840</v>
      </c>
      <c r="L99" s="14">
        <f>28.91 * IF(M99 = 980, 1, IF(M99 = 840,IF($L$3&gt;0,$L$3,1),IF(M99=982,IF($N$3&gt;0,$N$3,1))))</f>
        <v>28.91</v>
      </c>
      <c r="M99" s="13">
        <v>840</v>
      </c>
    </row>
    <row r="100" spans="1:13" s="1" customFormat="1" ht="48" customHeight="1" x14ac:dyDescent="0.2">
      <c r="A100" s="21"/>
      <c r="B100" s="22"/>
      <c r="C100" s="22"/>
      <c r="D100" s="23"/>
      <c r="E100" s="24"/>
      <c r="F100" s="26"/>
      <c r="G100" s="25"/>
      <c r="H100" s="25"/>
      <c r="I100" s="24"/>
      <c r="J100" s="15" t="str">
        <f xml:space="preserve"> IF(K99 = 980, K100,IF(K99 = 840,IF($L$3&gt;0,"грн",K100),IF(K99=982,IF($N$3&gt;0,"грн",K100))))</f>
        <v>USD</v>
      </c>
      <c r="K100" s="16" t="s">
        <v>26</v>
      </c>
      <c r="L100" s="15" t="str">
        <f xml:space="preserve"> IF(M99 = 980, M100,IF(M99 = 840,IF($L$3&gt;0,"грн",M100),IF(M99=982,IF($N$3&gt;0,"грн",M100))))</f>
        <v>USD</v>
      </c>
      <c r="M100" s="16" t="s">
        <v>26</v>
      </c>
    </row>
    <row r="101" spans="1:13" s="1" customFormat="1" ht="48" customHeight="1" x14ac:dyDescent="0.2">
      <c r="A101" s="21"/>
      <c r="B101" s="22" t="s">
        <v>22</v>
      </c>
      <c r="C101" s="22"/>
      <c r="D101" s="23" t="s">
        <v>117</v>
      </c>
      <c r="E101" s="24" t="s">
        <v>118</v>
      </c>
      <c r="F101" s="25">
        <v>11</v>
      </c>
      <c r="G101" s="25">
        <v>25</v>
      </c>
      <c r="H101" s="25">
        <v>50</v>
      </c>
      <c r="I101" s="24" t="s">
        <v>25</v>
      </c>
      <c r="J101" s="12">
        <f>32.432 * IF(K101 = 980, 1, IF(K101 = 840,IF($L$3&gt;0,$L$3,1),IF(K101=982,IF($N$3&gt;0,$N$3,1))))</f>
        <v>32.432000000000002</v>
      </c>
      <c r="K101" s="13">
        <v>840</v>
      </c>
      <c r="L101" s="14">
        <f>42.16 * IF(M101 = 980, 1, IF(M101 = 840,IF($L$3&gt;0,$L$3,1),IF(M101=982,IF($N$3&gt;0,$N$3,1))))</f>
        <v>42.16</v>
      </c>
      <c r="M101" s="13">
        <v>840</v>
      </c>
    </row>
    <row r="102" spans="1:13" s="1" customFormat="1" ht="48" customHeight="1" x14ac:dyDescent="0.2">
      <c r="A102" s="21"/>
      <c r="B102" s="22"/>
      <c r="C102" s="22"/>
      <c r="D102" s="23"/>
      <c r="E102" s="24"/>
      <c r="F102" s="25"/>
      <c r="G102" s="25"/>
      <c r="H102" s="25"/>
      <c r="I102" s="24"/>
      <c r="J102" s="15" t="str">
        <f xml:space="preserve"> IF(K101 = 980, K102,IF(K101 = 840,IF($L$3&gt;0,"грн",K102),IF(K101=982,IF($N$3&gt;0,"грн",K102))))</f>
        <v>USD</v>
      </c>
      <c r="K102" s="16" t="s">
        <v>26</v>
      </c>
      <c r="L102" s="15" t="str">
        <f xml:space="preserve"> IF(M101 = 980, M102,IF(M101 = 840,IF($L$3&gt;0,"грн",M102),IF(M101=982,IF($N$3&gt;0,"грн",M102))))</f>
        <v>USD</v>
      </c>
      <c r="M102" s="16" t="s">
        <v>26</v>
      </c>
    </row>
    <row r="103" spans="1:13" ht="16.05" customHeight="1" x14ac:dyDescent="0.3">
      <c r="A103" s="10" t="s">
        <v>119</v>
      </c>
      <c r="B103" s="11"/>
      <c r="C103" s="11"/>
      <c r="D103" s="11"/>
      <c r="E103" s="11"/>
      <c r="F103" s="11"/>
      <c r="G103" s="11"/>
      <c r="H103" s="11"/>
      <c r="I103" s="11"/>
      <c r="J103" s="11"/>
    </row>
    <row r="104" spans="1:13" s="1" customFormat="1" ht="48" customHeight="1" x14ac:dyDescent="0.2">
      <c r="A104" s="21"/>
      <c r="B104" s="22" t="s">
        <v>22</v>
      </c>
      <c r="C104" s="22"/>
      <c r="D104" s="23" t="s">
        <v>120</v>
      </c>
      <c r="E104" s="24" t="s">
        <v>121</v>
      </c>
      <c r="F104" s="26">
        <v>4.5</v>
      </c>
      <c r="G104" s="26">
        <v>12.5</v>
      </c>
      <c r="H104" s="25">
        <v>50</v>
      </c>
      <c r="I104" s="24" t="s">
        <v>25</v>
      </c>
      <c r="J104" s="12">
        <f>14.579 * IF(K104 = 980, 1, IF(K104 = 840,IF($L$3&gt;0,$L$3,1),IF(K104=982,IF($N$3&gt;0,$N$3,1))))</f>
        <v>14.579000000000001</v>
      </c>
      <c r="K104" s="13">
        <v>840</v>
      </c>
      <c r="L104" s="14">
        <f>18.95 * IF(M104 = 980, 1, IF(M104 = 840,IF($L$3&gt;0,$L$3,1),IF(M104=982,IF($N$3&gt;0,$N$3,1))))</f>
        <v>18.95</v>
      </c>
      <c r="M104" s="13">
        <v>840</v>
      </c>
    </row>
    <row r="105" spans="1:13" s="1" customFormat="1" ht="48" customHeight="1" x14ac:dyDescent="0.2">
      <c r="A105" s="21"/>
      <c r="B105" s="22"/>
      <c r="C105" s="22"/>
      <c r="D105" s="23"/>
      <c r="E105" s="24"/>
      <c r="F105" s="26"/>
      <c r="G105" s="26"/>
      <c r="H105" s="25"/>
      <c r="I105" s="24"/>
      <c r="J105" s="15" t="str">
        <f xml:space="preserve"> IF(K104 = 980, K105,IF(K104 = 840,IF($L$3&gt;0,"грн",K105),IF(K104=982,IF($N$3&gt;0,"грн",K105))))</f>
        <v>USD</v>
      </c>
      <c r="K105" s="16" t="s">
        <v>26</v>
      </c>
      <c r="L105" s="15" t="str">
        <f xml:space="preserve"> IF(M104 = 980, M105,IF(M104 = 840,IF($L$3&gt;0,"грн",M105),IF(M104=982,IF($N$3&gt;0,"грн",M105))))</f>
        <v>USD</v>
      </c>
      <c r="M105" s="16" t="s">
        <v>26</v>
      </c>
    </row>
    <row r="106" spans="1:13" s="1" customFormat="1" ht="48" customHeight="1" x14ac:dyDescent="0.2">
      <c r="A106" s="21"/>
      <c r="B106" s="22" t="s">
        <v>22</v>
      </c>
      <c r="C106" s="22"/>
      <c r="D106" s="23" t="s">
        <v>122</v>
      </c>
      <c r="E106" s="24" t="s">
        <v>123</v>
      </c>
      <c r="F106" s="25">
        <v>9</v>
      </c>
      <c r="G106" s="26">
        <v>12.5</v>
      </c>
      <c r="H106" s="25">
        <v>50</v>
      </c>
      <c r="I106" s="24" t="s">
        <v>25</v>
      </c>
      <c r="J106" s="12">
        <f>27.305 * IF(K106 = 980, 1, IF(K106 = 840,IF($L$3&gt;0,$L$3,1),IF(K106=982,IF($N$3&gt;0,$N$3,1))))</f>
        <v>27.305</v>
      </c>
      <c r="K106" s="13">
        <v>840</v>
      </c>
      <c r="L106" s="17">
        <f>35.5 * IF(M106 = 980, 1, IF(M106 = 840,IF($L$3&gt;0,$L$3,1),IF(M106=982,IF($N$3&gt;0,$N$3,1))))</f>
        <v>35.5</v>
      </c>
      <c r="M106" s="13">
        <v>840</v>
      </c>
    </row>
    <row r="107" spans="1:13" s="1" customFormat="1" ht="48" customHeight="1" x14ac:dyDescent="0.2">
      <c r="A107" s="21"/>
      <c r="B107" s="22"/>
      <c r="C107" s="22"/>
      <c r="D107" s="23"/>
      <c r="E107" s="24"/>
      <c r="F107" s="25"/>
      <c r="G107" s="26"/>
      <c r="H107" s="25"/>
      <c r="I107" s="24"/>
      <c r="J107" s="15" t="str">
        <f xml:space="preserve"> IF(K106 = 980, K107,IF(K106 = 840,IF($L$3&gt;0,"грн",K107),IF(K106=982,IF($N$3&gt;0,"грн",K107))))</f>
        <v>USD</v>
      </c>
      <c r="K107" s="16" t="s">
        <v>26</v>
      </c>
      <c r="L107" s="15" t="str">
        <f xml:space="preserve"> IF(M106 = 980, M107,IF(M106 = 840,IF($L$3&gt;0,"грн",M107),IF(M106=982,IF($N$3&gt;0,"грн",M107))))</f>
        <v>USD</v>
      </c>
      <c r="M107" s="16" t="s">
        <v>26</v>
      </c>
    </row>
    <row r="108" spans="1:13" s="1" customFormat="1" ht="48" customHeight="1" x14ac:dyDescent="0.2">
      <c r="A108" s="21"/>
      <c r="B108" s="22" t="s">
        <v>22</v>
      </c>
      <c r="C108" s="22"/>
      <c r="D108" s="23" t="s">
        <v>124</v>
      </c>
      <c r="E108" s="24" t="s">
        <v>125</v>
      </c>
      <c r="F108" s="25">
        <v>8</v>
      </c>
      <c r="G108" s="25">
        <v>19</v>
      </c>
      <c r="H108" s="25">
        <v>50</v>
      </c>
      <c r="I108" s="24" t="s">
        <v>25</v>
      </c>
      <c r="J108" s="12">
        <f>25.946 * IF(K108 = 980, 1, IF(K108 = 840,IF($L$3&gt;0,$L$3,1),IF(K108=982,IF($N$3&gt;0,$N$3,1))))</f>
        <v>25.946000000000002</v>
      </c>
      <c r="K108" s="13">
        <v>840</v>
      </c>
      <c r="L108" s="14">
        <f>33.73 * IF(M108 = 980, 1, IF(M108 = 840,IF($L$3&gt;0,$L$3,1),IF(M108=982,IF($N$3&gt;0,$N$3,1))))</f>
        <v>33.729999999999997</v>
      </c>
      <c r="M108" s="13">
        <v>840</v>
      </c>
    </row>
    <row r="109" spans="1:13" s="1" customFormat="1" ht="48" customHeight="1" x14ac:dyDescent="0.2">
      <c r="A109" s="21"/>
      <c r="B109" s="22"/>
      <c r="C109" s="22"/>
      <c r="D109" s="23"/>
      <c r="E109" s="24"/>
      <c r="F109" s="25"/>
      <c r="G109" s="25"/>
      <c r="H109" s="25"/>
      <c r="I109" s="24"/>
      <c r="J109" s="15" t="str">
        <f xml:space="preserve"> IF(K108 = 980, K109,IF(K108 = 840,IF($L$3&gt;0,"грн",K109),IF(K108=982,IF($N$3&gt;0,"грн",K109))))</f>
        <v>USD</v>
      </c>
      <c r="K109" s="16" t="s">
        <v>26</v>
      </c>
      <c r="L109" s="15" t="str">
        <f xml:space="preserve"> IF(M108 = 980, M109,IF(M108 = 840,IF($L$3&gt;0,"грн",M109),IF(M108=982,IF($N$3&gt;0,"грн",M109))))</f>
        <v>USD</v>
      </c>
      <c r="M109" s="16" t="s">
        <v>26</v>
      </c>
    </row>
    <row r="110" spans="1:13" s="1" customFormat="1" ht="48" customHeight="1" x14ac:dyDescent="0.2">
      <c r="A110" s="21"/>
      <c r="B110" s="22" t="s">
        <v>22</v>
      </c>
      <c r="C110" s="22"/>
      <c r="D110" s="23" t="s">
        <v>126</v>
      </c>
      <c r="E110" s="24" t="s">
        <v>127</v>
      </c>
      <c r="F110" s="25">
        <v>16</v>
      </c>
      <c r="G110" s="25">
        <v>19</v>
      </c>
      <c r="H110" s="25">
        <v>50</v>
      </c>
      <c r="I110" s="24" t="s">
        <v>51</v>
      </c>
      <c r="J110" s="12">
        <f>51.892 * IF(K110 = 980, 1, IF(K110 = 840,IF($L$3&gt;0,$L$3,1),IF(K110=982,IF($N$3&gt;0,$N$3,1))))</f>
        <v>51.892000000000003</v>
      </c>
      <c r="K110" s="13">
        <v>840</v>
      </c>
      <c r="L110" s="14">
        <f>67.46 * IF(M110 = 980, 1, IF(M110 = 840,IF($L$3&gt;0,$L$3,1),IF(M110=982,IF($N$3&gt;0,$N$3,1))))</f>
        <v>67.459999999999994</v>
      </c>
      <c r="M110" s="13">
        <v>840</v>
      </c>
    </row>
    <row r="111" spans="1:13" s="1" customFormat="1" ht="48" customHeight="1" x14ac:dyDescent="0.2">
      <c r="A111" s="21"/>
      <c r="B111" s="22"/>
      <c r="C111" s="22"/>
      <c r="D111" s="23"/>
      <c r="E111" s="24"/>
      <c r="F111" s="25"/>
      <c r="G111" s="25"/>
      <c r="H111" s="25"/>
      <c r="I111" s="24"/>
      <c r="J111" s="15" t="str">
        <f xml:space="preserve"> IF(K110 = 980, K111,IF(K110 = 840,IF($L$3&gt;0,"грн",K111),IF(K110=982,IF($N$3&gt;0,"грн",K111))))</f>
        <v>USD</v>
      </c>
      <c r="K111" s="16" t="s">
        <v>26</v>
      </c>
      <c r="L111" s="15" t="str">
        <f xml:space="preserve"> IF(M110 = 980, M111,IF(M110 = 840,IF($L$3&gt;0,"грн",M111),IF(M110=982,IF($N$3&gt;0,"грн",M111))))</f>
        <v>USD</v>
      </c>
      <c r="M111" s="16" t="s">
        <v>26</v>
      </c>
    </row>
    <row r="112" spans="1:13" s="1" customFormat="1" ht="48" customHeight="1" x14ac:dyDescent="0.2">
      <c r="A112" s="21"/>
      <c r="B112" s="22" t="s">
        <v>22</v>
      </c>
      <c r="C112" s="22"/>
      <c r="D112" s="23" t="s">
        <v>128</v>
      </c>
      <c r="E112" s="24" t="s">
        <v>129</v>
      </c>
      <c r="F112" s="25">
        <v>8</v>
      </c>
      <c r="G112" s="25">
        <v>19</v>
      </c>
      <c r="H112" s="25">
        <v>50</v>
      </c>
      <c r="I112" s="24" t="s">
        <v>51</v>
      </c>
      <c r="J112" s="12">
        <f>27.305 * IF(K112 = 980, 1, IF(K112 = 840,IF($L$3&gt;0,$L$3,1),IF(K112=982,IF($N$3&gt;0,$N$3,1))))</f>
        <v>27.305</v>
      </c>
      <c r="K112" s="13">
        <v>840</v>
      </c>
      <c r="L112" s="17">
        <f>35.5 * IF(M112 = 980, 1, IF(M112 = 840,IF($L$3&gt;0,$L$3,1),IF(M112=982,IF($N$3&gt;0,$N$3,1))))</f>
        <v>35.5</v>
      </c>
      <c r="M112" s="13">
        <v>840</v>
      </c>
    </row>
    <row r="113" spans="1:13" s="1" customFormat="1" ht="48" customHeight="1" x14ac:dyDescent="0.2">
      <c r="A113" s="21"/>
      <c r="B113" s="22"/>
      <c r="C113" s="22"/>
      <c r="D113" s="23"/>
      <c r="E113" s="24"/>
      <c r="F113" s="25"/>
      <c r="G113" s="25"/>
      <c r="H113" s="25"/>
      <c r="I113" s="24"/>
      <c r="J113" s="15" t="str">
        <f xml:space="preserve"> IF(K112 = 980, K113,IF(K112 = 840,IF($L$3&gt;0,"грн",K113),IF(K112=982,IF($N$3&gt;0,"грн",K113))))</f>
        <v>USD</v>
      </c>
      <c r="K113" s="16" t="s">
        <v>26</v>
      </c>
      <c r="L113" s="15" t="str">
        <f xml:space="preserve"> IF(M112 = 980, M113,IF(M112 = 840,IF($L$3&gt;0,"грн",M113),IF(M112=982,IF($N$3&gt;0,"грн",M113))))</f>
        <v>USD</v>
      </c>
      <c r="M113" s="16" t="s">
        <v>26</v>
      </c>
    </row>
    <row r="114" spans="1:13" s="1" customFormat="1" ht="48" customHeight="1" x14ac:dyDescent="0.2">
      <c r="A114" s="21"/>
      <c r="B114" s="22" t="s">
        <v>22</v>
      </c>
      <c r="C114" s="22"/>
      <c r="D114" s="23" t="s">
        <v>130</v>
      </c>
      <c r="E114" s="24" t="s">
        <v>131</v>
      </c>
      <c r="F114" s="25">
        <v>4</v>
      </c>
      <c r="G114" s="25">
        <v>19</v>
      </c>
      <c r="H114" s="25">
        <v>20</v>
      </c>
      <c r="I114" s="24" t="s">
        <v>25</v>
      </c>
      <c r="J114" s="12">
        <f>14.258 * IF(K114 = 980, 1, IF(K114 = 840,IF($L$3&gt;0,$L$3,1),IF(K114=982,IF($N$3&gt;0,$N$3,1))))</f>
        <v>14.257999999999999</v>
      </c>
      <c r="K114" s="13">
        <v>840</v>
      </c>
      <c r="L114" s="14">
        <f>18.54 * IF(M114 = 980, 1, IF(M114 = 840,IF($L$3&gt;0,$L$3,1),IF(M114=982,IF($N$3&gt;0,$N$3,1))))</f>
        <v>18.54</v>
      </c>
      <c r="M114" s="13">
        <v>840</v>
      </c>
    </row>
    <row r="115" spans="1:13" s="1" customFormat="1" ht="48" customHeight="1" x14ac:dyDescent="0.2">
      <c r="A115" s="21"/>
      <c r="B115" s="22"/>
      <c r="C115" s="22"/>
      <c r="D115" s="23"/>
      <c r="E115" s="24"/>
      <c r="F115" s="25"/>
      <c r="G115" s="25"/>
      <c r="H115" s="25"/>
      <c r="I115" s="24"/>
      <c r="J115" s="15" t="str">
        <f xml:space="preserve"> IF(K114 = 980, K115,IF(K114 = 840,IF($L$3&gt;0,"грн",K115),IF(K114=982,IF($N$3&gt;0,"грн",K115))))</f>
        <v>USD</v>
      </c>
      <c r="K115" s="16" t="s">
        <v>26</v>
      </c>
      <c r="L115" s="15" t="str">
        <f xml:space="preserve"> IF(M114 = 980, M115,IF(M114 = 840,IF($L$3&gt;0,"грн",M115),IF(M114=982,IF($N$3&gt;0,"грн",M115))))</f>
        <v>USD</v>
      </c>
      <c r="M115" s="16" t="s">
        <v>26</v>
      </c>
    </row>
    <row r="116" spans="1:13" s="1" customFormat="1" ht="48" customHeight="1" x14ac:dyDescent="0.2">
      <c r="A116" s="21"/>
      <c r="B116" s="22" t="s">
        <v>22</v>
      </c>
      <c r="C116" s="22"/>
      <c r="D116" s="23" t="s">
        <v>132</v>
      </c>
      <c r="E116" s="24" t="s">
        <v>133</v>
      </c>
      <c r="F116" s="25">
        <v>6</v>
      </c>
      <c r="G116" s="25">
        <v>19</v>
      </c>
      <c r="H116" s="25">
        <v>30</v>
      </c>
      <c r="I116" s="24" t="s">
        <v>25</v>
      </c>
      <c r="J116" s="12">
        <f>21.387 * IF(K116 = 980, 1, IF(K116 = 840,IF($L$3&gt;0,$L$3,1),IF(K116=982,IF($N$3&gt;0,$N$3,1))))</f>
        <v>21.387</v>
      </c>
      <c r="K116" s="13">
        <v>840</v>
      </c>
      <c r="L116" s="17">
        <f>27.8 * IF(M116 = 980, 1, IF(M116 = 840,IF($L$3&gt;0,$L$3,1),IF(M116=982,IF($N$3&gt;0,$N$3,1))))</f>
        <v>27.8</v>
      </c>
      <c r="M116" s="13">
        <v>840</v>
      </c>
    </row>
    <row r="117" spans="1:13" s="1" customFormat="1" ht="48" customHeight="1" x14ac:dyDescent="0.2">
      <c r="A117" s="21"/>
      <c r="B117" s="22"/>
      <c r="C117" s="22"/>
      <c r="D117" s="23"/>
      <c r="E117" s="24"/>
      <c r="F117" s="25"/>
      <c r="G117" s="25"/>
      <c r="H117" s="25"/>
      <c r="I117" s="24"/>
      <c r="J117" s="15" t="str">
        <f xml:space="preserve"> IF(K116 = 980, K117,IF(K116 = 840,IF($L$3&gt;0,"грн",K117),IF(K116=982,IF($N$3&gt;0,"грн",K117))))</f>
        <v>USD</v>
      </c>
      <c r="K117" s="16" t="s">
        <v>26</v>
      </c>
      <c r="L117" s="15" t="str">
        <f xml:space="preserve"> IF(M116 = 980, M117,IF(M116 = 840,IF($L$3&gt;0,"грн",M117),IF(M116=982,IF($N$3&gt;0,"грн",M117))))</f>
        <v>USD</v>
      </c>
      <c r="M117" s="16" t="s">
        <v>26</v>
      </c>
    </row>
    <row r="118" spans="1:13" s="1" customFormat="1" ht="48" customHeight="1" x14ac:dyDescent="0.2">
      <c r="A118" s="21"/>
      <c r="B118" s="22" t="s">
        <v>22</v>
      </c>
      <c r="C118" s="22"/>
      <c r="D118" s="23" t="s">
        <v>134</v>
      </c>
      <c r="E118" s="24" t="s">
        <v>135</v>
      </c>
      <c r="F118" s="25">
        <v>10</v>
      </c>
      <c r="G118" s="25">
        <v>19</v>
      </c>
      <c r="H118" s="25">
        <v>50</v>
      </c>
      <c r="I118" s="24" t="s">
        <v>51</v>
      </c>
      <c r="J118" s="12">
        <f>35.645 * IF(K118 = 980, 1, IF(K118 = 840,IF($L$3&gt;0,$L$3,1),IF(K118=982,IF($N$3&gt;0,$N$3,1))))</f>
        <v>35.645000000000003</v>
      </c>
      <c r="K118" s="13">
        <v>840</v>
      </c>
      <c r="L118" s="14">
        <f>46.34 * IF(M118 = 980, 1, IF(M118 = 840,IF($L$3&gt;0,$L$3,1),IF(M118=982,IF($N$3&gt;0,$N$3,1))))</f>
        <v>46.34</v>
      </c>
      <c r="M118" s="13">
        <v>840</v>
      </c>
    </row>
    <row r="119" spans="1:13" s="1" customFormat="1" ht="48" customHeight="1" x14ac:dyDescent="0.2">
      <c r="A119" s="21"/>
      <c r="B119" s="22"/>
      <c r="C119" s="22"/>
      <c r="D119" s="23"/>
      <c r="E119" s="24"/>
      <c r="F119" s="25"/>
      <c r="G119" s="25"/>
      <c r="H119" s="25"/>
      <c r="I119" s="24"/>
      <c r="J119" s="15" t="str">
        <f xml:space="preserve"> IF(K118 = 980, K119,IF(K118 = 840,IF($L$3&gt;0,"грн",K119),IF(K118=982,IF($N$3&gt;0,"грн",K119))))</f>
        <v>USD</v>
      </c>
      <c r="K119" s="16" t="s">
        <v>26</v>
      </c>
      <c r="L119" s="15" t="str">
        <f xml:space="preserve"> IF(M118 = 980, M119,IF(M118 = 840,IF($L$3&gt;0,"грн",M119),IF(M118=982,IF($N$3&gt;0,"грн",M119))))</f>
        <v>USD</v>
      </c>
      <c r="M119" s="16" t="s">
        <v>26</v>
      </c>
    </row>
    <row r="120" spans="1:13" ht="16.05" customHeight="1" x14ac:dyDescent="0.3">
      <c r="A120" s="10" t="s">
        <v>136</v>
      </c>
      <c r="B120" s="11"/>
      <c r="C120" s="11"/>
      <c r="D120" s="11"/>
      <c r="E120" s="11"/>
      <c r="F120" s="11"/>
      <c r="G120" s="11"/>
      <c r="H120" s="11"/>
      <c r="I120" s="11"/>
      <c r="J120" s="11"/>
    </row>
    <row r="121" spans="1:13" s="1" customFormat="1" ht="48" customHeight="1" x14ac:dyDescent="0.2">
      <c r="A121" s="21"/>
      <c r="B121" s="22" t="s">
        <v>22</v>
      </c>
      <c r="C121" s="22"/>
      <c r="D121" s="23" t="s">
        <v>137</v>
      </c>
      <c r="E121" s="24" t="s">
        <v>138</v>
      </c>
      <c r="F121" s="26">
        <v>4.3</v>
      </c>
      <c r="G121" s="25">
        <v>19</v>
      </c>
      <c r="H121" s="25">
        <v>20</v>
      </c>
      <c r="I121" s="24" t="s">
        <v>25</v>
      </c>
      <c r="J121" s="12">
        <f>14.258 * IF(K121 = 980, 1, IF(K121 = 840,IF($L$3&gt;0,$L$3,1),IF(K121=982,IF($N$3&gt;0,$N$3,1))))</f>
        <v>14.257999999999999</v>
      </c>
      <c r="K121" s="13">
        <v>840</v>
      </c>
      <c r="L121" s="14">
        <f>18.54 * IF(M121 = 980, 1, IF(M121 = 840,IF($L$3&gt;0,$L$3,1),IF(M121=982,IF($N$3&gt;0,$N$3,1))))</f>
        <v>18.54</v>
      </c>
      <c r="M121" s="13">
        <v>840</v>
      </c>
    </row>
    <row r="122" spans="1:13" s="1" customFormat="1" ht="48" customHeight="1" x14ac:dyDescent="0.2">
      <c r="A122" s="21"/>
      <c r="B122" s="22"/>
      <c r="C122" s="22"/>
      <c r="D122" s="23"/>
      <c r="E122" s="24"/>
      <c r="F122" s="26"/>
      <c r="G122" s="25"/>
      <c r="H122" s="25"/>
      <c r="I122" s="24"/>
      <c r="J122" s="15" t="str">
        <f xml:space="preserve"> IF(K121 = 980, K122,IF(K121 = 840,IF($L$3&gt;0,"грн",K122),IF(K121=982,IF($N$3&gt;0,"грн",K122))))</f>
        <v>USD</v>
      </c>
      <c r="K122" s="16" t="s">
        <v>26</v>
      </c>
      <c r="L122" s="15" t="str">
        <f xml:space="preserve"> IF(M121 = 980, M122,IF(M121 = 840,IF($L$3&gt;0,"грн",M122),IF(M121=982,IF($N$3&gt;0,"грн",M122))))</f>
        <v>USD</v>
      </c>
      <c r="M122" s="16" t="s">
        <v>26</v>
      </c>
    </row>
    <row r="123" spans="1:13" s="1" customFormat="1" ht="48" customHeight="1" x14ac:dyDescent="0.2">
      <c r="A123" s="21"/>
      <c r="B123" s="22" t="s">
        <v>22</v>
      </c>
      <c r="C123" s="22"/>
      <c r="D123" s="23" t="s">
        <v>139</v>
      </c>
      <c r="E123" s="24" t="s">
        <v>140</v>
      </c>
      <c r="F123" s="26">
        <v>6.5</v>
      </c>
      <c r="G123" s="25">
        <v>19</v>
      </c>
      <c r="H123" s="25">
        <v>30</v>
      </c>
      <c r="I123" s="24" t="s">
        <v>25</v>
      </c>
      <c r="J123" s="12">
        <f>21.387 * IF(K123 = 980, 1, IF(K123 = 840,IF($L$3&gt;0,$L$3,1),IF(K123=982,IF($N$3&gt;0,$N$3,1))))</f>
        <v>21.387</v>
      </c>
      <c r="K123" s="13">
        <v>840</v>
      </c>
      <c r="L123" s="17">
        <f>27.8 * IF(M123 = 980, 1, IF(M123 = 840,IF($L$3&gt;0,$L$3,1),IF(M123=982,IF($N$3&gt;0,$N$3,1))))</f>
        <v>27.8</v>
      </c>
      <c r="M123" s="13">
        <v>840</v>
      </c>
    </row>
    <row r="124" spans="1:13" s="1" customFormat="1" ht="48" customHeight="1" x14ac:dyDescent="0.2">
      <c r="A124" s="21"/>
      <c r="B124" s="22"/>
      <c r="C124" s="22"/>
      <c r="D124" s="23"/>
      <c r="E124" s="24"/>
      <c r="F124" s="26"/>
      <c r="G124" s="25"/>
      <c r="H124" s="25"/>
      <c r="I124" s="24"/>
      <c r="J124" s="15" t="str">
        <f xml:space="preserve"> IF(K123 = 980, K124,IF(K123 = 840,IF($L$3&gt;0,"грн",K124),IF(K123=982,IF($N$3&gt;0,"грн",K124))))</f>
        <v>USD</v>
      </c>
      <c r="K124" s="16" t="s">
        <v>26</v>
      </c>
      <c r="L124" s="15" t="str">
        <f xml:space="preserve"> IF(M123 = 980, M124,IF(M123 = 840,IF($L$3&gt;0,"грн",M124),IF(M123=982,IF($N$3&gt;0,"грн",M124))))</f>
        <v>USD</v>
      </c>
      <c r="M124" s="16" t="s">
        <v>26</v>
      </c>
    </row>
    <row r="125" spans="1:13" s="1" customFormat="1" ht="48" customHeight="1" x14ac:dyDescent="0.2">
      <c r="A125" s="21"/>
      <c r="B125" s="22" t="s">
        <v>22</v>
      </c>
      <c r="C125" s="22"/>
      <c r="D125" s="23" t="s">
        <v>141</v>
      </c>
      <c r="E125" s="24" t="s">
        <v>142</v>
      </c>
      <c r="F125" s="27">
        <v>10.55</v>
      </c>
      <c r="G125" s="25">
        <v>19</v>
      </c>
      <c r="H125" s="25">
        <v>50</v>
      </c>
      <c r="I125" s="24" t="s">
        <v>25</v>
      </c>
      <c r="J125" s="12">
        <f>35.645 * IF(K125 = 980, 1, IF(K125 = 840,IF($L$3&gt;0,$L$3,1),IF(K125=982,IF($N$3&gt;0,$N$3,1))))</f>
        <v>35.645000000000003</v>
      </c>
      <c r="K125" s="13">
        <v>840</v>
      </c>
      <c r="L125" s="14">
        <f>46.34 * IF(M125 = 980, 1, IF(M125 = 840,IF($L$3&gt;0,$L$3,1),IF(M125=982,IF($N$3&gt;0,$N$3,1))))</f>
        <v>46.34</v>
      </c>
      <c r="M125" s="13">
        <v>840</v>
      </c>
    </row>
    <row r="126" spans="1:13" s="1" customFormat="1" ht="48" customHeight="1" x14ac:dyDescent="0.2">
      <c r="A126" s="21"/>
      <c r="B126" s="22"/>
      <c r="C126" s="22"/>
      <c r="D126" s="23"/>
      <c r="E126" s="24"/>
      <c r="F126" s="27"/>
      <c r="G126" s="25"/>
      <c r="H126" s="25"/>
      <c r="I126" s="24"/>
      <c r="J126" s="15" t="str">
        <f xml:space="preserve"> IF(K125 = 980, K126,IF(K125 = 840,IF($L$3&gt;0,"грн",K126),IF(K125=982,IF($N$3&gt;0,"грн",K126))))</f>
        <v>USD</v>
      </c>
      <c r="K126" s="16" t="s">
        <v>26</v>
      </c>
      <c r="L126" s="15" t="str">
        <f xml:space="preserve"> IF(M125 = 980, M126,IF(M125 = 840,IF($L$3&gt;0,"грн",M126),IF(M125=982,IF($N$3&gt;0,"грн",M126))))</f>
        <v>USD</v>
      </c>
      <c r="M126" s="16" t="s">
        <v>26</v>
      </c>
    </row>
    <row r="127" spans="1:13" s="1" customFormat="1" ht="48" customHeight="1" x14ac:dyDescent="0.2">
      <c r="A127" s="21"/>
      <c r="B127" s="22" t="s">
        <v>22</v>
      </c>
      <c r="C127" s="22"/>
      <c r="D127" s="23" t="s">
        <v>143</v>
      </c>
      <c r="E127" s="24" t="s">
        <v>144</v>
      </c>
      <c r="F127" s="25">
        <v>14</v>
      </c>
      <c r="G127" s="25">
        <v>25</v>
      </c>
      <c r="H127" s="25">
        <v>50</v>
      </c>
      <c r="I127" s="24" t="s">
        <v>51</v>
      </c>
      <c r="J127" s="12">
        <f>51.892 * IF(K127 = 980, 1, IF(K127 = 840,IF($L$3&gt;0,$L$3,1),IF(K127=982,IF($N$3&gt;0,$N$3,1))))</f>
        <v>51.892000000000003</v>
      </c>
      <c r="K127" s="13">
        <v>840</v>
      </c>
      <c r="L127" s="14">
        <f>67.46 * IF(M127 = 980, 1, IF(M127 = 840,IF($L$3&gt;0,$L$3,1),IF(M127=982,IF($N$3&gt;0,$N$3,1))))</f>
        <v>67.459999999999994</v>
      </c>
      <c r="M127" s="13">
        <v>840</v>
      </c>
    </row>
    <row r="128" spans="1:13" s="1" customFormat="1" ht="48" customHeight="1" x14ac:dyDescent="0.2">
      <c r="A128" s="21"/>
      <c r="B128" s="22"/>
      <c r="C128" s="22"/>
      <c r="D128" s="23"/>
      <c r="E128" s="24"/>
      <c r="F128" s="25"/>
      <c r="G128" s="25"/>
      <c r="H128" s="25"/>
      <c r="I128" s="24"/>
      <c r="J128" s="15" t="str">
        <f xml:space="preserve"> IF(K127 = 980, K128,IF(K127 = 840,IF($L$3&gt;0,"грн",K128),IF(K127=982,IF($N$3&gt;0,"грн",K128))))</f>
        <v>USD</v>
      </c>
      <c r="K128" s="16" t="s">
        <v>26</v>
      </c>
      <c r="L128" s="15" t="str">
        <f xml:space="preserve"> IF(M127 = 980, M128,IF(M127 = 840,IF($L$3&gt;0,"грн",M128),IF(M127=982,IF($N$3&gt;0,"грн",M128))))</f>
        <v>USD</v>
      </c>
      <c r="M128" s="16" t="s">
        <v>26</v>
      </c>
    </row>
    <row r="129" spans="1:13" ht="16.05" customHeight="1" x14ac:dyDescent="0.3">
      <c r="A129" s="10" t="s">
        <v>145</v>
      </c>
      <c r="B129" s="11"/>
      <c r="C129" s="11"/>
      <c r="D129" s="11"/>
      <c r="E129" s="11"/>
      <c r="F129" s="11"/>
      <c r="G129" s="11"/>
      <c r="H129" s="11"/>
      <c r="I129" s="11"/>
      <c r="J129" s="11"/>
    </row>
    <row r="130" spans="1:13" s="1" customFormat="1" ht="48" customHeight="1" x14ac:dyDescent="0.2">
      <c r="A130" s="21"/>
      <c r="B130" s="22" t="s">
        <v>22</v>
      </c>
      <c r="C130" s="22"/>
      <c r="D130" s="23" t="s">
        <v>146</v>
      </c>
      <c r="E130" s="24" t="s">
        <v>147</v>
      </c>
      <c r="F130" s="26">
        <v>3.2</v>
      </c>
      <c r="G130" s="25">
        <v>18</v>
      </c>
      <c r="H130" s="25">
        <v>20</v>
      </c>
      <c r="I130" s="24" t="s">
        <v>25</v>
      </c>
      <c r="J130" s="14">
        <f>9.81 * IF(K130 = 980, 1, IF(K130 = 840,IF($L$3&gt;0,$L$3,1),IF(K130=982,IF($N$3&gt;0,$N$3,1))))</f>
        <v>9.81</v>
      </c>
      <c r="K130" s="13">
        <v>840</v>
      </c>
      <c r="L130" s="14">
        <f>12.75 * IF(M130 = 980, 1, IF(M130 = 840,IF($L$3&gt;0,$L$3,1),IF(M130=982,IF($N$3&gt;0,$N$3,1))))</f>
        <v>12.75</v>
      </c>
      <c r="M130" s="13">
        <v>840</v>
      </c>
    </row>
    <row r="131" spans="1:13" s="1" customFormat="1" ht="48" customHeight="1" x14ac:dyDescent="0.2">
      <c r="A131" s="21"/>
      <c r="B131" s="22"/>
      <c r="C131" s="22"/>
      <c r="D131" s="23"/>
      <c r="E131" s="24"/>
      <c r="F131" s="26"/>
      <c r="G131" s="25"/>
      <c r="H131" s="25"/>
      <c r="I131" s="24"/>
      <c r="J131" s="15" t="str">
        <f xml:space="preserve"> IF(K130 = 980, K131,IF(K130 = 840,IF($L$3&gt;0,"грн",K131),IF(K130=982,IF($N$3&gt;0,"грн",K131))))</f>
        <v>USD</v>
      </c>
      <c r="K131" s="16" t="s">
        <v>26</v>
      </c>
      <c r="L131" s="15" t="str">
        <f xml:space="preserve"> IF(M130 = 980, M131,IF(M130 = 840,IF($L$3&gt;0,"грн",M131),IF(M130=982,IF($N$3&gt;0,"грн",M131))))</f>
        <v>USD</v>
      </c>
      <c r="M131" s="16" t="s">
        <v>26</v>
      </c>
    </row>
    <row r="132" spans="1:13" s="1" customFormat="1" ht="48" customHeight="1" x14ac:dyDescent="0.2">
      <c r="A132" s="21"/>
      <c r="B132" s="22" t="s">
        <v>22</v>
      </c>
      <c r="C132" s="22"/>
      <c r="D132" s="23" t="s">
        <v>148</v>
      </c>
      <c r="E132" s="24" t="s">
        <v>149</v>
      </c>
      <c r="F132" s="26">
        <v>4.8</v>
      </c>
      <c r="G132" s="25">
        <v>18</v>
      </c>
      <c r="H132" s="25">
        <v>30</v>
      </c>
      <c r="I132" s="24" t="s">
        <v>25</v>
      </c>
      <c r="J132" s="12">
        <f>14.715 * IF(K132 = 980, 1, IF(K132 = 840,IF($L$3&gt;0,$L$3,1),IF(K132=982,IF($N$3&gt;0,$N$3,1))))</f>
        <v>14.715</v>
      </c>
      <c r="K132" s="13">
        <v>840</v>
      </c>
      <c r="L132" s="14">
        <f>19.13 * IF(M132 = 980, 1, IF(M132 = 840,IF($L$3&gt;0,$L$3,1),IF(M132=982,IF($N$3&gt;0,$N$3,1))))</f>
        <v>19.13</v>
      </c>
      <c r="M132" s="13">
        <v>840</v>
      </c>
    </row>
    <row r="133" spans="1:13" s="1" customFormat="1" ht="48" customHeight="1" x14ac:dyDescent="0.2">
      <c r="A133" s="21"/>
      <c r="B133" s="22"/>
      <c r="C133" s="22"/>
      <c r="D133" s="23"/>
      <c r="E133" s="24"/>
      <c r="F133" s="26"/>
      <c r="G133" s="25"/>
      <c r="H133" s="25"/>
      <c r="I133" s="24"/>
      <c r="J133" s="15" t="str">
        <f xml:space="preserve"> IF(K132 = 980, K133,IF(K132 = 840,IF($L$3&gt;0,"грн",K133),IF(K132=982,IF($N$3&gt;0,"грн",K133))))</f>
        <v>USD</v>
      </c>
      <c r="K133" s="16" t="s">
        <v>26</v>
      </c>
      <c r="L133" s="15" t="str">
        <f xml:space="preserve"> IF(M132 = 980, M133,IF(M132 = 840,IF($L$3&gt;0,"грн",M133),IF(M132=982,IF($N$3&gt;0,"грн",M133))))</f>
        <v>USD</v>
      </c>
      <c r="M133" s="16" t="s">
        <v>26</v>
      </c>
    </row>
    <row r="134" spans="1:13" s="1" customFormat="1" ht="48" customHeight="1" x14ac:dyDescent="0.2">
      <c r="A134" s="21"/>
      <c r="B134" s="22" t="s">
        <v>22</v>
      </c>
      <c r="C134" s="22"/>
      <c r="D134" s="23" t="s">
        <v>150</v>
      </c>
      <c r="E134" s="24" t="s">
        <v>151</v>
      </c>
      <c r="F134" s="25">
        <v>8</v>
      </c>
      <c r="G134" s="25">
        <v>18</v>
      </c>
      <c r="H134" s="25">
        <v>50</v>
      </c>
      <c r="I134" s="24" t="s">
        <v>25</v>
      </c>
      <c r="J134" s="12">
        <f>24.525 * IF(K134 = 980, 1, IF(K134 = 840,IF($L$3&gt;0,$L$3,1),IF(K134=982,IF($N$3&gt;0,$N$3,1))))</f>
        <v>24.524999999999999</v>
      </c>
      <c r="K134" s="13">
        <v>840</v>
      </c>
      <c r="L134" s="14">
        <f>31.88 * IF(M134 = 980, 1, IF(M134 = 840,IF($L$3&gt;0,$L$3,1),IF(M134=982,IF($N$3&gt;0,$N$3,1))))</f>
        <v>31.88</v>
      </c>
      <c r="M134" s="13">
        <v>840</v>
      </c>
    </row>
    <row r="135" spans="1:13" s="1" customFormat="1" ht="48" customHeight="1" x14ac:dyDescent="0.2">
      <c r="A135" s="21"/>
      <c r="B135" s="22"/>
      <c r="C135" s="22"/>
      <c r="D135" s="23"/>
      <c r="E135" s="24"/>
      <c r="F135" s="25"/>
      <c r="G135" s="25"/>
      <c r="H135" s="25"/>
      <c r="I135" s="24"/>
      <c r="J135" s="15" t="str">
        <f xml:space="preserve"> IF(K134 = 980, K135,IF(K134 = 840,IF($L$3&gt;0,"грн",K135),IF(K134=982,IF($N$3&gt;0,"грн",K135))))</f>
        <v>USD</v>
      </c>
      <c r="K135" s="16" t="s">
        <v>26</v>
      </c>
      <c r="L135" s="15" t="str">
        <f xml:space="preserve"> IF(M134 = 980, M135,IF(M134 = 840,IF($L$3&gt;0,"грн",M135),IF(M134=982,IF($N$3&gt;0,"грн",M135))))</f>
        <v>USD</v>
      </c>
      <c r="M135" s="16" t="s">
        <v>26</v>
      </c>
    </row>
    <row r="136" spans="1:13" s="1" customFormat="1" ht="48" customHeight="1" x14ac:dyDescent="0.2">
      <c r="A136" s="21"/>
      <c r="B136" s="22" t="s">
        <v>22</v>
      </c>
      <c r="C136" s="22"/>
      <c r="D136" s="23" t="s">
        <v>152</v>
      </c>
      <c r="E136" s="24" t="s">
        <v>153</v>
      </c>
      <c r="F136" s="25">
        <v>4</v>
      </c>
      <c r="G136" s="25">
        <v>18</v>
      </c>
      <c r="H136" s="25">
        <v>20</v>
      </c>
      <c r="I136" s="24" t="s">
        <v>51</v>
      </c>
      <c r="J136" s="12">
        <f>14.332 * IF(K136 = 980, 1, IF(K136 = 840,IF($L$3&gt;0,$L$3,1),IF(K136=982,IF($N$3&gt;0,$N$3,1))))</f>
        <v>14.332000000000001</v>
      </c>
      <c r="K136" s="13">
        <v>840</v>
      </c>
      <c r="L136" s="14">
        <f>18.63 * IF(M136 = 980, 1, IF(M136 = 840,IF($L$3&gt;0,$L$3,1),IF(M136=982,IF($N$3&gt;0,$N$3,1))))</f>
        <v>18.63</v>
      </c>
      <c r="M136" s="13">
        <v>840</v>
      </c>
    </row>
    <row r="137" spans="1:13" s="1" customFormat="1" ht="48" customHeight="1" x14ac:dyDescent="0.2">
      <c r="A137" s="21"/>
      <c r="B137" s="22"/>
      <c r="C137" s="22"/>
      <c r="D137" s="23"/>
      <c r="E137" s="24"/>
      <c r="F137" s="25"/>
      <c r="G137" s="25"/>
      <c r="H137" s="25"/>
      <c r="I137" s="24"/>
      <c r="J137" s="15" t="str">
        <f xml:space="preserve"> IF(K136 = 980, K137,IF(K136 = 840,IF($L$3&gt;0,"грн",K137),IF(K136=982,IF($N$3&gt;0,"грн",K137))))</f>
        <v>USD</v>
      </c>
      <c r="K137" s="16" t="s">
        <v>26</v>
      </c>
      <c r="L137" s="15" t="str">
        <f xml:space="preserve"> IF(M136 = 980, M137,IF(M136 = 840,IF($L$3&gt;0,"грн",M137),IF(M136=982,IF($N$3&gt;0,"грн",M137))))</f>
        <v>USD</v>
      </c>
      <c r="M137" s="16" t="s">
        <v>26</v>
      </c>
    </row>
    <row r="138" spans="1:13" s="1" customFormat="1" ht="48" customHeight="1" x14ac:dyDescent="0.2">
      <c r="A138" s="21"/>
      <c r="B138" s="22" t="s">
        <v>22</v>
      </c>
      <c r="C138" s="22"/>
      <c r="D138" s="23" t="s">
        <v>154</v>
      </c>
      <c r="E138" s="24" t="s">
        <v>155</v>
      </c>
      <c r="F138" s="25">
        <v>6</v>
      </c>
      <c r="G138" s="25">
        <v>18</v>
      </c>
      <c r="H138" s="25">
        <v>30</v>
      </c>
      <c r="I138" s="24" t="s">
        <v>25</v>
      </c>
      <c r="J138" s="12">
        <f>21.498 * IF(K138 = 980, 1, IF(K138 = 840,IF($L$3&gt;0,$L$3,1),IF(K138=982,IF($N$3&gt;0,$N$3,1))))</f>
        <v>21.498000000000001</v>
      </c>
      <c r="K138" s="13">
        <v>840</v>
      </c>
      <c r="L138" s="14">
        <f>27.95 * IF(M138 = 980, 1, IF(M138 = 840,IF($L$3&gt;0,$L$3,1),IF(M138=982,IF($N$3&gt;0,$N$3,1))))</f>
        <v>27.95</v>
      </c>
      <c r="M138" s="13">
        <v>840</v>
      </c>
    </row>
    <row r="139" spans="1:13" s="1" customFormat="1" ht="48" customHeight="1" x14ac:dyDescent="0.2">
      <c r="A139" s="21"/>
      <c r="B139" s="22"/>
      <c r="C139" s="22"/>
      <c r="D139" s="23"/>
      <c r="E139" s="24"/>
      <c r="F139" s="25"/>
      <c r="G139" s="25"/>
      <c r="H139" s="25"/>
      <c r="I139" s="24"/>
      <c r="J139" s="15" t="str">
        <f xml:space="preserve"> IF(K138 = 980, K139,IF(K138 = 840,IF($L$3&gt;0,"грн",K139),IF(K138=982,IF($N$3&gt;0,"грн",K139))))</f>
        <v>USD</v>
      </c>
      <c r="K139" s="16" t="s">
        <v>26</v>
      </c>
      <c r="L139" s="15" t="str">
        <f xml:space="preserve"> IF(M138 = 980, M139,IF(M138 = 840,IF($L$3&gt;0,"грн",M139),IF(M138=982,IF($N$3&gt;0,"грн",M139))))</f>
        <v>USD</v>
      </c>
      <c r="M139" s="16" t="s">
        <v>26</v>
      </c>
    </row>
    <row r="140" spans="1:13" s="1" customFormat="1" ht="48" customHeight="1" x14ac:dyDescent="0.2">
      <c r="A140" s="21"/>
      <c r="B140" s="22" t="s">
        <v>22</v>
      </c>
      <c r="C140" s="22"/>
      <c r="D140" s="23" t="s">
        <v>156</v>
      </c>
      <c r="E140" s="24" t="s">
        <v>157</v>
      </c>
      <c r="F140" s="25">
        <v>10</v>
      </c>
      <c r="G140" s="25">
        <v>18</v>
      </c>
      <c r="H140" s="25">
        <v>50</v>
      </c>
      <c r="I140" s="24" t="s">
        <v>51</v>
      </c>
      <c r="J140" s="14">
        <f>35.83 * IF(K140 = 980, 1, IF(K140 = 840,IF($L$3&gt;0,$L$3,1),IF(K140=982,IF($N$3&gt;0,$N$3,1))))</f>
        <v>35.83</v>
      </c>
      <c r="K140" s="13">
        <v>840</v>
      </c>
      <c r="L140" s="14">
        <f>46.58 * IF(M140 = 980, 1, IF(M140 = 840,IF($L$3&gt;0,$L$3,1),IF(M140=982,IF($N$3&gt;0,$N$3,1))))</f>
        <v>46.58</v>
      </c>
      <c r="M140" s="13">
        <v>840</v>
      </c>
    </row>
    <row r="141" spans="1:13" s="1" customFormat="1" ht="48" customHeight="1" x14ac:dyDescent="0.2">
      <c r="A141" s="21"/>
      <c r="B141" s="22"/>
      <c r="C141" s="22"/>
      <c r="D141" s="23"/>
      <c r="E141" s="24"/>
      <c r="F141" s="25"/>
      <c r="G141" s="25"/>
      <c r="H141" s="25"/>
      <c r="I141" s="24"/>
      <c r="J141" s="15" t="str">
        <f xml:space="preserve"> IF(K140 = 980, K141,IF(K140 = 840,IF($L$3&gt;0,"грн",K141),IF(K140=982,IF($N$3&gt;0,"грн",K141))))</f>
        <v>USD</v>
      </c>
      <c r="K141" s="16" t="s">
        <v>26</v>
      </c>
      <c r="L141" s="15" t="str">
        <f xml:space="preserve"> IF(M140 = 980, M141,IF(M140 = 840,IF($L$3&gt;0,"грн",M141),IF(M140=982,IF($N$3&gt;0,"грн",M141))))</f>
        <v>USD</v>
      </c>
      <c r="M141" s="16" t="s">
        <v>26</v>
      </c>
    </row>
    <row r="142" spans="1:13" ht="16.05" customHeight="1" x14ac:dyDescent="0.3">
      <c r="A142" s="10" t="s">
        <v>158</v>
      </c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3" s="1" customFormat="1" ht="48" customHeight="1" x14ac:dyDescent="0.2">
      <c r="A143" s="21"/>
      <c r="B143" s="22" t="s">
        <v>22</v>
      </c>
      <c r="C143" s="22"/>
      <c r="D143" s="23" t="s">
        <v>159</v>
      </c>
      <c r="E143" s="24" t="s">
        <v>160</v>
      </c>
      <c r="F143" s="26">
        <v>3.5</v>
      </c>
      <c r="G143" s="25">
        <v>19</v>
      </c>
      <c r="H143" s="25">
        <v>20</v>
      </c>
      <c r="I143" s="24" t="s">
        <v>25</v>
      </c>
      <c r="J143" s="12">
        <f>10.749 * IF(K143 = 980, 1, IF(K143 = 840,IF($L$3&gt;0,$L$3,1),IF(K143=982,IF($N$3&gt;0,$N$3,1))))</f>
        <v>10.749000000000001</v>
      </c>
      <c r="K143" s="13">
        <v>840</v>
      </c>
      <c r="L143" s="14">
        <f>13.97 * IF(M143 = 980, 1, IF(M143 = 840,IF($L$3&gt;0,$L$3,1),IF(M143=982,IF($N$3&gt;0,$N$3,1))))</f>
        <v>13.97</v>
      </c>
      <c r="M143" s="13">
        <v>840</v>
      </c>
    </row>
    <row r="144" spans="1:13" s="1" customFormat="1" ht="48" customHeight="1" x14ac:dyDescent="0.2">
      <c r="A144" s="21"/>
      <c r="B144" s="22"/>
      <c r="C144" s="22"/>
      <c r="D144" s="23"/>
      <c r="E144" s="24"/>
      <c r="F144" s="26"/>
      <c r="G144" s="25"/>
      <c r="H144" s="25"/>
      <c r="I144" s="24"/>
      <c r="J144" s="15" t="str">
        <f xml:space="preserve"> IF(K143 = 980, K144,IF(K143 = 840,IF($L$3&gt;0,"грн",K144),IF(K143=982,IF($N$3&gt;0,"грн",K144))))</f>
        <v>USD</v>
      </c>
      <c r="K144" s="16" t="s">
        <v>26</v>
      </c>
      <c r="L144" s="15" t="str">
        <f xml:space="preserve"> IF(M143 = 980, M144,IF(M143 = 840,IF($L$3&gt;0,"грн",M144),IF(M143=982,IF($N$3&gt;0,"грн",M144))))</f>
        <v>USD</v>
      </c>
      <c r="M144" s="16" t="s">
        <v>26</v>
      </c>
    </row>
    <row r="145" spans="1:13" s="1" customFormat="1" ht="48" customHeight="1" x14ac:dyDescent="0.2">
      <c r="A145" s="21"/>
      <c r="B145" s="22" t="s">
        <v>22</v>
      </c>
      <c r="C145" s="22"/>
      <c r="D145" s="23" t="s">
        <v>161</v>
      </c>
      <c r="E145" s="24" t="s">
        <v>162</v>
      </c>
      <c r="F145" s="27">
        <v>5.25</v>
      </c>
      <c r="G145" s="25">
        <v>19</v>
      </c>
      <c r="H145" s="25">
        <v>30</v>
      </c>
      <c r="I145" s="24" t="s">
        <v>25</v>
      </c>
      <c r="J145" s="12">
        <f>16.123 * IF(K145 = 980, 1, IF(K145 = 840,IF($L$3&gt;0,$L$3,1),IF(K145=982,IF($N$3&gt;0,$N$3,1))))</f>
        <v>16.123000000000001</v>
      </c>
      <c r="K145" s="13">
        <v>840</v>
      </c>
      <c r="L145" s="14">
        <f>20.96 * IF(M145 = 980, 1, IF(M145 = 840,IF($L$3&gt;0,$L$3,1),IF(M145=982,IF($N$3&gt;0,$N$3,1))))</f>
        <v>20.96</v>
      </c>
      <c r="M145" s="13">
        <v>840</v>
      </c>
    </row>
    <row r="146" spans="1:13" s="1" customFormat="1" ht="48" customHeight="1" x14ac:dyDescent="0.2">
      <c r="A146" s="21"/>
      <c r="B146" s="22"/>
      <c r="C146" s="22"/>
      <c r="D146" s="23"/>
      <c r="E146" s="24"/>
      <c r="F146" s="27"/>
      <c r="G146" s="25"/>
      <c r="H146" s="25"/>
      <c r="I146" s="24"/>
      <c r="J146" s="15" t="str">
        <f xml:space="preserve"> IF(K145 = 980, K146,IF(K145 = 840,IF($L$3&gt;0,"грн",K146),IF(K145=982,IF($N$3&gt;0,"грн",K146))))</f>
        <v>USD</v>
      </c>
      <c r="K146" s="16" t="s">
        <v>26</v>
      </c>
      <c r="L146" s="15" t="str">
        <f xml:space="preserve"> IF(M145 = 980, M146,IF(M145 = 840,IF($L$3&gt;0,"грн",M146),IF(M145=982,IF($N$3&gt;0,"грн",M146))))</f>
        <v>USD</v>
      </c>
      <c r="M146" s="16" t="s">
        <v>26</v>
      </c>
    </row>
    <row r="147" spans="1:13" s="1" customFormat="1" ht="48" customHeight="1" x14ac:dyDescent="0.2">
      <c r="A147" s="21"/>
      <c r="B147" s="22" t="s">
        <v>22</v>
      </c>
      <c r="C147" s="22"/>
      <c r="D147" s="23" t="s">
        <v>163</v>
      </c>
      <c r="E147" s="24" t="s">
        <v>164</v>
      </c>
      <c r="F147" s="26">
        <v>10.5</v>
      </c>
      <c r="G147" s="25">
        <v>19</v>
      </c>
      <c r="H147" s="25">
        <v>50</v>
      </c>
      <c r="I147" s="24" t="s">
        <v>25</v>
      </c>
      <c r="J147" s="12">
        <f>26.873 * IF(K147 = 980, 1, IF(K147 = 840,IF($L$3&gt;0,$L$3,1),IF(K147=982,IF($N$3&gt;0,$N$3,1))))</f>
        <v>26.873000000000001</v>
      </c>
      <c r="K147" s="13">
        <v>840</v>
      </c>
      <c r="L147" s="14">
        <f>34.93 * IF(M147 = 980, 1, IF(M147 = 840,IF($L$3&gt;0,$L$3,1),IF(M147=982,IF($N$3&gt;0,$N$3,1))))</f>
        <v>34.93</v>
      </c>
      <c r="M147" s="13">
        <v>840</v>
      </c>
    </row>
    <row r="148" spans="1:13" s="1" customFormat="1" ht="48" customHeight="1" x14ac:dyDescent="0.2">
      <c r="A148" s="21"/>
      <c r="B148" s="22"/>
      <c r="C148" s="22"/>
      <c r="D148" s="23"/>
      <c r="E148" s="24"/>
      <c r="F148" s="26"/>
      <c r="G148" s="25"/>
      <c r="H148" s="25"/>
      <c r="I148" s="24"/>
      <c r="J148" s="15" t="str">
        <f xml:space="preserve"> IF(K147 = 980, K148,IF(K147 = 840,IF($L$3&gt;0,"грн",K148),IF(K147=982,IF($N$3&gt;0,"грн",K148))))</f>
        <v>USD</v>
      </c>
      <c r="K148" s="16" t="s">
        <v>26</v>
      </c>
      <c r="L148" s="15" t="str">
        <f xml:space="preserve"> IF(M147 = 980, M148,IF(M147 = 840,IF($L$3&gt;0,"грн",M148),IF(M147=982,IF($N$3&gt;0,"грн",M148))))</f>
        <v>USD</v>
      </c>
      <c r="M148" s="16" t="s">
        <v>26</v>
      </c>
    </row>
    <row r="149" spans="1:13" ht="16.05" customHeight="1" x14ac:dyDescent="0.3">
      <c r="A149" s="10" t="s">
        <v>165</v>
      </c>
      <c r="B149" s="11"/>
      <c r="C149" s="11"/>
      <c r="D149" s="11"/>
      <c r="E149" s="11"/>
      <c r="F149" s="11"/>
      <c r="G149" s="11"/>
      <c r="H149" s="11"/>
      <c r="I149" s="11"/>
      <c r="J149" s="11"/>
    </row>
    <row r="150" spans="1:13" s="1" customFormat="1" ht="48" customHeight="1" x14ac:dyDescent="0.2">
      <c r="A150" s="21"/>
      <c r="B150" s="22" t="s">
        <v>22</v>
      </c>
      <c r="C150" s="22"/>
      <c r="D150" s="23" t="s">
        <v>166</v>
      </c>
      <c r="E150" s="24" t="s">
        <v>167</v>
      </c>
      <c r="F150" s="25">
        <v>8</v>
      </c>
      <c r="G150" s="25">
        <v>9</v>
      </c>
      <c r="H150" s="25">
        <v>50</v>
      </c>
      <c r="I150" s="24" t="s">
        <v>25</v>
      </c>
      <c r="J150" s="12">
        <f>27.181 * IF(K150 = 980, 1, IF(K150 = 840,IF($L$3&gt;0,$L$3,1),IF(K150=982,IF($N$3&gt;0,$N$3,1))))</f>
        <v>27.181000000000001</v>
      </c>
      <c r="K150" s="13">
        <v>840</v>
      </c>
      <c r="L150" s="14">
        <f>35.34 * IF(M150 = 980, 1, IF(M150 = 840,IF($L$3&gt;0,$L$3,1),IF(M150=982,IF($N$3&gt;0,$N$3,1))))</f>
        <v>35.340000000000003</v>
      </c>
      <c r="M150" s="13">
        <v>840</v>
      </c>
    </row>
    <row r="151" spans="1:13" s="1" customFormat="1" ht="48" customHeight="1" x14ac:dyDescent="0.2">
      <c r="A151" s="21"/>
      <c r="B151" s="22"/>
      <c r="C151" s="22"/>
      <c r="D151" s="23"/>
      <c r="E151" s="24"/>
      <c r="F151" s="25"/>
      <c r="G151" s="25"/>
      <c r="H151" s="25"/>
      <c r="I151" s="24"/>
      <c r="J151" s="15" t="str">
        <f xml:space="preserve"> IF(K150 = 980, K151,IF(K150 = 840,IF($L$3&gt;0,"грн",K151),IF(K150=982,IF($N$3&gt;0,"грн",K151))))</f>
        <v>USD</v>
      </c>
      <c r="K151" s="16" t="s">
        <v>26</v>
      </c>
      <c r="L151" s="15" t="str">
        <f xml:space="preserve"> IF(M150 = 980, M151,IF(M150 = 840,IF($L$3&gt;0,"грн",M151),IF(M150=982,IF($N$3&gt;0,"грн",M151))))</f>
        <v>USD</v>
      </c>
      <c r="M151" s="16" t="s">
        <v>26</v>
      </c>
    </row>
    <row r="152" spans="1:13" s="1" customFormat="1" ht="48" customHeight="1" x14ac:dyDescent="0.2">
      <c r="A152" s="21"/>
      <c r="B152" s="22" t="s">
        <v>168</v>
      </c>
      <c r="C152" s="22"/>
      <c r="D152" s="23" t="s">
        <v>169</v>
      </c>
      <c r="E152" s="24" t="s">
        <v>170</v>
      </c>
      <c r="F152" s="26">
        <v>6.5</v>
      </c>
      <c r="G152" s="25">
        <v>9</v>
      </c>
      <c r="H152" s="25">
        <v>50</v>
      </c>
      <c r="I152" s="24" t="s">
        <v>51</v>
      </c>
      <c r="J152" s="12">
        <f>23.244 * IF(K152 = 980, 1, IF(K152 = 840,IF($L$3&gt;0,$L$3,1),IF(K152=982,IF($N$3&gt;0,$N$3,1))))</f>
        <v>23.244</v>
      </c>
      <c r="K152" s="13">
        <v>840</v>
      </c>
      <c r="L152" s="14">
        <f>27.89 * IF(M152 = 980, 1, IF(M152 = 840,IF($L$3&gt;0,$L$3,1),IF(M152=982,IF($N$3&gt;0,$N$3,1))))</f>
        <v>27.89</v>
      </c>
      <c r="M152" s="13">
        <v>840</v>
      </c>
    </row>
    <row r="153" spans="1:13" s="1" customFormat="1" ht="48" customHeight="1" x14ac:dyDescent="0.2">
      <c r="A153" s="21"/>
      <c r="B153" s="22"/>
      <c r="C153" s="22"/>
      <c r="D153" s="23"/>
      <c r="E153" s="24"/>
      <c r="F153" s="26"/>
      <c r="G153" s="25"/>
      <c r="H153" s="25"/>
      <c r="I153" s="24"/>
      <c r="J153" s="15" t="str">
        <f xml:space="preserve"> IF(K152 = 980, K153,IF(K152 = 840,IF($L$3&gt;0,"грн",K153),IF(K152=982,IF($N$3&gt;0,"грн",K153))))</f>
        <v>USD</v>
      </c>
      <c r="K153" s="16" t="s">
        <v>26</v>
      </c>
      <c r="L153" s="15" t="str">
        <f xml:space="preserve"> IF(M152 = 980, M153,IF(M152 = 840,IF($L$3&gt;0,"грн",M153),IF(M152=982,IF($N$3&gt;0,"грн",M153))))</f>
        <v>USD</v>
      </c>
      <c r="M153" s="16" t="s">
        <v>26</v>
      </c>
    </row>
    <row r="154" spans="1:13" ht="16.05" customHeight="1" x14ac:dyDescent="0.3">
      <c r="A154" s="10" t="s">
        <v>171</v>
      </c>
      <c r="B154" s="11"/>
      <c r="C154" s="11"/>
      <c r="D154" s="11"/>
      <c r="E154" s="11"/>
      <c r="F154" s="11"/>
      <c r="G154" s="11"/>
      <c r="H154" s="11"/>
      <c r="I154" s="11"/>
      <c r="J154" s="11"/>
    </row>
    <row r="155" spans="1:13" ht="16.05" customHeight="1" x14ac:dyDescent="0.3">
      <c r="A155" s="10" t="s">
        <v>172</v>
      </c>
      <c r="B155" s="11"/>
      <c r="C155" s="11"/>
      <c r="D155" s="11"/>
      <c r="E155" s="11"/>
      <c r="F155" s="11"/>
      <c r="G155" s="11"/>
      <c r="H155" s="11"/>
      <c r="I155" s="11"/>
      <c r="J155" s="11"/>
    </row>
    <row r="156" spans="1:13" s="1" customFormat="1" ht="48" customHeight="1" x14ac:dyDescent="0.2">
      <c r="A156" s="21"/>
      <c r="B156" s="22" t="s">
        <v>173</v>
      </c>
      <c r="C156" s="22"/>
      <c r="D156" s="23" t="s">
        <v>174</v>
      </c>
      <c r="E156" s="24" t="s">
        <v>175</v>
      </c>
      <c r="F156" s="26">
        <v>1.6</v>
      </c>
      <c r="G156" s="26">
        <v>12.5</v>
      </c>
      <c r="H156" s="25">
        <v>20</v>
      </c>
      <c r="I156" s="24" t="s">
        <v>25</v>
      </c>
      <c r="J156" s="12">
        <f>4.625 * IF(K156 = 980, 1, IF(K156 = 840,IF($L$3&gt;0,$L$3,1),IF(K156=982,IF($N$3&gt;0,$N$3,1))))</f>
        <v>4.625</v>
      </c>
      <c r="K156" s="13">
        <v>982</v>
      </c>
      <c r="L156" s="14">
        <f>5.55 * IF(M156 = 980, 1, IF(M156 = 840,IF($L$3&gt;0,$L$3,1),IF(M156=982,IF($N$3&gt;0,$N$3,1))))</f>
        <v>5.55</v>
      </c>
      <c r="M156" s="13">
        <v>982</v>
      </c>
    </row>
    <row r="157" spans="1:13" s="1" customFormat="1" ht="48" customHeight="1" x14ac:dyDescent="0.2">
      <c r="A157" s="21"/>
      <c r="B157" s="22"/>
      <c r="C157" s="22"/>
      <c r="D157" s="23"/>
      <c r="E157" s="24"/>
      <c r="F157" s="26"/>
      <c r="G157" s="26"/>
      <c r="H157" s="25"/>
      <c r="I157" s="24"/>
      <c r="J157" s="15" t="str">
        <f xml:space="preserve"> IF(K156 = 980, K157,IF(K156 = 840,IF($L$3&gt;0,"грн",K157),IF(K156=982,IF($N$3&gt;0,"грн",K157))))</f>
        <v>EUR</v>
      </c>
      <c r="K157" s="16" t="s">
        <v>176</v>
      </c>
      <c r="L157" s="15" t="str">
        <f xml:space="preserve"> IF(M156 = 980, M157,IF(M156 = 840,IF($L$3&gt;0,"грн",M157),IF(M156=982,IF($N$3&gt;0,"грн",M157))))</f>
        <v>EUR</v>
      </c>
      <c r="M157" s="16" t="s">
        <v>176</v>
      </c>
    </row>
    <row r="158" spans="1:13" s="1" customFormat="1" ht="48" customHeight="1" x14ac:dyDescent="0.2">
      <c r="A158" s="21"/>
      <c r="B158" s="22" t="s">
        <v>173</v>
      </c>
      <c r="C158" s="22"/>
      <c r="D158" s="23" t="s">
        <v>177</v>
      </c>
      <c r="E158" s="24" t="s">
        <v>178</v>
      </c>
      <c r="F158" s="25">
        <v>2</v>
      </c>
      <c r="G158" s="26">
        <v>12.5</v>
      </c>
      <c r="H158" s="25">
        <v>25</v>
      </c>
      <c r="I158" s="24" t="s">
        <v>25</v>
      </c>
      <c r="J158" s="12">
        <f>5.781 * IF(K158 = 980, 1, IF(K158 = 840,IF($L$3&gt;0,$L$3,1),IF(K158=982,IF($N$3&gt;0,$N$3,1))))</f>
        <v>5.7809999999999997</v>
      </c>
      <c r="K158" s="13">
        <v>982</v>
      </c>
      <c r="L158" s="14">
        <f>6.94 * IF(M158 = 980, 1, IF(M158 = 840,IF($L$3&gt;0,$L$3,1),IF(M158=982,IF($N$3&gt;0,$N$3,1))))</f>
        <v>6.94</v>
      </c>
      <c r="M158" s="13">
        <v>982</v>
      </c>
    </row>
    <row r="159" spans="1:13" s="1" customFormat="1" ht="48" customHeight="1" x14ac:dyDescent="0.2">
      <c r="A159" s="21"/>
      <c r="B159" s="22"/>
      <c r="C159" s="22"/>
      <c r="D159" s="23"/>
      <c r="E159" s="24"/>
      <c r="F159" s="25"/>
      <c r="G159" s="26"/>
      <c r="H159" s="25"/>
      <c r="I159" s="24"/>
      <c r="J159" s="15" t="str">
        <f xml:space="preserve"> IF(K158 = 980, K159,IF(K158 = 840,IF($L$3&gt;0,"грн",K159),IF(K158=982,IF($N$3&gt;0,"грн",K159))))</f>
        <v>EUR</v>
      </c>
      <c r="K159" s="16" t="s">
        <v>176</v>
      </c>
      <c r="L159" s="15" t="str">
        <f xml:space="preserve"> IF(M158 = 980, M159,IF(M158 = 840,IF($L$3&gt;0,"грн",M159),IF(M158=982,IF($N$3&gt;0,"грн",M159))))</f>
        <v>EUR</v>
      </c>
      <c r="M159" s="16" t="s">
        <v>176</v>
      </c>
    </row>
    <row r="160" spans="1:13" s="1" customFormat="1" ht="48" customHeight="1" x14ac:dyDescent="0.2">
      <c r="A160" s="21"/>
      <c r="B160" s="22" t="s">
        <v>173</v>
      </c>
      <c r="C160" s="22"/>
      <c r="D160" s="23" t="s">
        <v>179</v>
      </c>
      <c r="E160" s="24" t="s">
        <v>180</v>
      </c>
      <c r="F160" s="25">
        <v>4</v>
      </c>
      <c r="G160" s="26">
        <v>12.5</v>
      </c>
      <c r="H160" s="25">
        <v>50</v>
      </c>
      <c r="I160" s="24" t="s">
        <v>25</v>
      </c>
      <c r="J160" s="12">
        <f>11.562 * IF(K160 = 980, 1, IF(K160 = 840,IF($L$3&gt;0,$L$3,1),IF(K160=982,IF($N$3&gt;0,$N$3,1))))</f>
        <v>11.561999999999999</v>
      </c>
      <c r="K160" s="13">
        <v>982</v>
      </c>
      <c r="L160" s="14">
        <f>13.87 * IF(M160 = 980, 1, IF(M160 = 840,IF($L$3&gt;0,$L$3,1),IF(M160=982,IF($N$3&gt;0,$N$3,1))))</f>
        <v>13.87</v>
      </c>
      <c r="M160" s="13">
        <v>982</v>
      </c>
    </row>
    <row r="161" spans="1:13" s="1" customFormat="1" ht="48" customHeight="1" x14ac:dyDescent="0.2">
      <c r="A161" s="21"/>
      <c r="B161" s="22"/>
      <c r="C161" s="22"/>
      <c r="D161" s="23"/>
      <c r="E161" s="24"/>
      <c r="F161" s="25"/>
      <c r="G161" s="26"/>
      <c r="H161" s="25"/>
      <c r="I161" s="24"/>
      <c r="J161" s="15" t="str">
        <f xml:space="preserve"> IF(K160 = 980, K161,IF(K160 = 840,IF($L$3&gt;0,"грн",K161),IF(K160=982,IF($N$3&gt;0,"грн",K161))))</f>
        <v>EUR</v>
      </c>
      <c r="K161" s="16" t="s">
        <v>176</v>
      </c>
      <c r="L161" s="15" t="str">
        <f xml:space="preserve"> IF(M160 = 980, M161,IF(M160 = 840,IF($L$3&gt;0,"грн",M161),IF(M160=982,IF($N$3&gt;0,"грн",M161))))</f>
        <v>EUR</v>
      </c>
      <c r="M161" s="16" t="s">
        <v>176</v>
      </c>
    </row>
    <row r="162" spans="1:13" s="1" customFormat="1" ht="48" customHeight="1" x14ac:dyDescent="0.2">
      <c r="A162" s="21"/>
      <c r="B162" s="22" t="s">
        <v>173</v>
      </c>
      <c r="C162" s="22"/>
      <c r="D162" s="23" t="s">
        <v>181</v>
      </c>
      <c r="E162" s="24" t="s">
        <v>182</v>
      </c>
      <c r="F162" s="27">
        <v>2.75</v>
      </c>
      <c r="G162" s="25">
        <v>16</v>
      </c>
      <c r="H162" s="25">
        <v>25</v>
      </c>
      <c r="I162" s="24" t="s">
        <v>25</v>
      </c>
      <c r="J162" s="12">
        <f>7.965 * IF(K162 = 980, 1, IF(K162 = 840,IF($L$3&gt;0,$L$3,1),IF(K162=982,IF($N$3&gt;0,$N$3,1))))</f>
        <v>7.9649999999999999</v>
      </c>
      <c r="K162" s="13">
        <v>982</v>
      </c>
      <c r="L162" s="14">
        <f>9.56 * IF(M162 = 980, 1, IF(M162 = 840,IF($L$3&gt;0,$L$3,1),IF(M162=982,IF($N$3&gt;0,$N$3,1))))</f>
        <v>9.56</v>
      </c>
      <c r="M162" s="13">
        <v>982</v>
      </c>
    </row>
    <row r="163" spans="1:13" s="1" customFormat="1" ht="48" customHeight="1" x14ac:dyDescent="0.2">
      <c r="A163" s="21"/>
      <c r="B163" s="22"/>
      <c r="C163" s="22"/>
      <c r="D163" s="23"/>
      <c r="E163" s="24"/>
      <c r="F163" s="27"/>
      <c r="G163" s="25"/>
      <c r="H163" s="25"/>
      <c r="I163" s="24"/>
      <c r="J163" s="15" t="str">
        <f xml:space="preserve"> IF(K162 = 980, K163,IF(K162 = 840,IF($L$3&gt;0,"грн",K163),IF(K162=982,IF($N$3&gt;0,"грн",K163))))</f>
        <v>EUR</v>
      </c>
      <c r="K163" s="16" t="s">
        <v>176</v>
      </c>
      <c r="L163" s="15" t="str">
        <f xml:space="preserve"> IF(M162 = 980, M163,IF(M162 = 840,IF($L$3&gt;0,"грн",M163),IF(M162=982,IF($N$3&gt;0,"грн",M163))))</f>
        <v>EUR</v>
      </c>
      <c r="M163" s="16" t="s">
        <v>176</v>
      </c>
    </row>
    <row r="164" spans="1:13" s="1" customFormat="1" ht="48" customHeight="1" x14ac:dyDescent="0.2">
      <c r="A164" s="21"/>
      <c r="B164" s="22" t="s">
        <v>173</v>
      </c>
      <c r="C164" s="22"/>
      <c r="D164" s="23" t="s">
        <v>183</v>
      </c>
      <c r="E164" s="24" t="s">
        <v>184</v>
      </c>
      <c r="F164" s="26">
        <v>5.5</v>
      </c>
      <c r="G164" s="25">
        <v>16</v>
      </c>
      <c r="H164" s="25">
        <v>50</v>
      </c>
      <c r="I164" s="24" t="s">
        <v>25</v>
      </c>
      <c r="J164" s="12">
        <f>15.929 * IF(K164 = 980, 1, IF(K164 = 840,IF($L$3&gt;0,$L$3,1),IF(K164=982,IF($N$3&gt;0,$N$3,1))))</f>
        <v>15.929</v>
      </c>
      <c r="K164" s="13">
        <v>982</v>
      </c>
      <c r="L164" s="14">
        <f>19.11 * IF(M164 = 980, 1, IF(M164 = 840,IF($L$3&gt;0,$L$3,1),IF(M164=982,IF($N$3&gt;0,$N$3,1))))</f>
        <v>19.11</v>
      </c>
      <c r="M164" s="13">
        <v>982</v>
      </c>
    </row>
    <row r="165" spans="1:13" s="1" customFormat="1" ht="48" customHeight="1" x14ac:dyDescent="0.2">
      <c r="A165" s="21"/>
      <c r="B165" s="22"/>
      <c r="C165" s="22"/>
      <c r="D165" s="23"/>
      <c r="E165" s="24"/>
      <c r="F165" s="26"/>
      <c r="G165" s="25"/>
      <c r="H165" s="25"/>
      <c r="I165" s="24"/>
      <c r="J165" s="15" t="str">
        <f xml:space="preserve"> IF(K164 = 980, K165,IF(K164 = 840,IF($L$3&gt;0,"грн",K165),IF(K164=982,IF($N$3&gt;0,"грн",K165))))</f>
        <v>EUR</v>
      </c>
      <c r="K165" s="16" t="s">
        <v>176</v>
      </c>
      <c r="L165" s="15" t="str">
        <f xml:space="preserve"> IF(M164 = 980, M165,IF(M164 = 840,IF($L$3&gt;0,"грн",M165),IF(M164=982,IF($N$3&gt;0,"грн",M165))))</f>
        <v>EUR</v>
      </c>
      <c r="M165" s="16" t="s">
        <v>176</v>
      </c>
    </row>
    <row r="166" spans="1:13" s="1" customFormat="1" ht="48" customHeight="1" x14ac:dyDescent="0.2">
      <c r="A166" s="21"/>
      <c r="B166" s="22" t="s">
        <v>173</v>
      </c>
      <c r="C166" s="22"/>
      <c r="D166" s="23" t="s">
        <v>185</v>
      </c>
      <c r="E166" s="24" t="s">
        <v>186</v>
      </c>
      <c r="F166" s="26">
        <v>3.2</v>
      </c>
      <c r="G166" s="25">
        <v>19</v>
      </c>
      <c r="H166" s="25">
        <v>20</v>
      </c>
      <c r="I166" s="24" t="s">
        <v>25</v>
      </c>
      <c r="J166" s="12">
        <f>9.249 * IF(K166 = 980, 1, IF(K166 = 840,IF($L$3&gt;0,$L$3,1),IF(K166=982,IF($N$3&gt;0,$N$3,1))))</f>
        <v>9.2490000000000006</v>
      </c>
      <c r="K166" s="13">
        <v>982</v>
      </c>
      <c r="L166" s="17">
        <f>11.1 * IF(M166 = 980, 1, IF(M166 = 840,IF($L$3&gt;0,$L$3,1),IF(M166=982,IF($N$3&gt;0,$N$3,1))))</f>
        <v>11.1</v>
      </c>
      <c r="M166" s="13">
        <v>982</v>
      </c>
    </row>
    <row r="167" spans="1:13" s="1" customFormat="1" ht="48" customHeight="1" x14ac:dyDescent="0.2">
      <c r="A167" s="21"/>
      <c r="B167" s="22"/>
      <c r="C167" s="22"/>
      <c r="D167" s="23"/>
      <c r="E167" s="24"/>
      <c r="F167" s="26"/>
      <c r="G167" s="25"/>
      <c r="H167" s="25"/>
      <c r="I167" s="24"/>
      <c r="J167" s="15" t="str">
        <f xml:space="preserve"> IF(K166 = 980, K167,IF(K166 = 840,IF($L$3&gt;0,"грн",K167),IF(K166=982,IF($N$3&gt;0,"грн",K167))))</f>
        <v>EUR</v>
      </c>
      <c r="K167" s="16" t="s">
        <v>176</v>
      </c>
      <c r="L167" s="15" t="str">
        <f xml:space="preserve"> IF(M166 = 980, M167,IF(M166 = 840,IF($L$3&gt;0,"грн",M167),IF(M166=982,IF($N$3&gt;0,"грн",M167))))</f>
        <v>EUR</v>
      </c>
      <c r="M167" s="16" t="s">
        <v>176</v>
      </c>
    </row>
    <row r="168" spans="1:13" s="1" customFormat="1" ht="48" customHeight="1" x14ac:dyDescent="0.2">
      <c r="A168" s="21"/>
      <c r="B168" s="22" t="s">
        <v>173</v>
      </c>
      <c r="C168" s="22"/>
      <c r="D168" s="23" t="s">
        <v>187</v>
      </c>
      <c r="E168" s="24" t="s">
        <v>188</v>
      </c>
      <c r="F168" s="26">
        <v>4.8</v>
      </c>
      <c r="G168" s="25">
        <v>19</v>
      </c>
      <c r="H168" s="25">
        <v>30</v>
      </c>
      <c r="I168" s="24" t="s">
        <v>25</v>
      </c>
      <c r="J168" s="12">
        <f>13.874 * IF(K168 = 980, 1, IF(K168 = 840,IF($L$3&gt;0,$L$3,1),IF(K168=982,IF($N$3&gt;0,$N$3,1))))</f>
        <v>13.874000000000001</v>
      </c>
      <c r="K168" s="13">
        <v>982</v>
      </c>
      <c r="L168" s="14">
        <f>16.65 * IF(M168 = 980, 1, IF(M168 = 840,IF($L$3&gt;0,$L$3,1),IF(M168=982,IF($N$3&gt;0,$N$3,1))))</f>
        <v>16.649999999999999</v>
      </c>
      <c r="M168" s="13">
        <v>982</v>
      </c>
    </row>
    <row r="169" spans="1:13" s="1" customFormat="1" ht="48" customHeight="1" x14ac:dyDescent="0.2">
      <c r="A169" s="21"/>
      <c r="B169" s="22"/>
      <c r="C169" s="22"/>
      <c r="D169" s="23"/>
      <c r="E169" s="24"/>
      <c r="F169" s="26"/>
      <c r="G169" s="25"/>
      <c r="H169" s="25"/>
      <c r="I169" s="24"/>
      <c r="J169" s="15" t="str">
        <f xml:space="preserve"> IF(K168 = 980, K169,IF(K168 = 840,IF($L$3&gt;0,"грн",K169),IF(K168=982,IF($N$3&gt;0,"грн",K169))))</f>
        <v>EUR</v>
      </c>
      <c r="K169" s="16" t="s">
        <v>176</v>
      </c>
      <c r="L169" s="15" t="str">
        <f xml:space="preserve"> IF(M168 = 980, M169,IF(M168 = 840,IF($L$3&gt;0,"грн",M169),IF(M168=982,IF($N$3&gt;0,"грн",M169))))</f>
        <v>EUR</v>
      </c>
      <c r="M169" s="16" t="s">
        <v>176</v>
      </c>
    </row>
    <row r="170" spans="1:13" s="1" customFormat="1" ht="48" customHeight="1" x14ac:dyDescent="0.2">
      <c r="A170" s="21"/>
      <c r="B170" s="22" t="s">
        <v>173</v>
      </c>
      <c r="C170" s="22"/>
      <c r="D170" s="23" t="s">
        <v>189</v>
      </c>
      <c r="E170" s="24" t="s">
        <v>190</v>
      </c>
      <c r="F170" s="27">
        <v>8.75</v>
      </c>
      <c r="G170" s="25">
        <v>19</v>
      </c>
      <c r="H170" s="25">
        <v>50</v>
      </c>
      <c r="I170" s="24" t="s">
        <v>25</v>
      </c>
      <c r="J170" s="12">
        <f>23.123 * IF(K170 = 980, 1, IF(K170 = 840,IF($L$3&gt;0,$L$3,1),IF(K170=982,IF($N$3&gt;0,$N$3,1))))</f>
        <v>23.123000000000001</v>
      </c>
      <c r="K170" s="13">
        <v>982</v>
      </c>
      <c r="L170" s="14">
        <f>27.75 * IF(M170 = 980, 1, IF(M170 = 840,IF($L$3&gt;0,$L$3,1),IF(M170=982,IF($N$3&gt;0,$N$3,1))))</f>
        <v>27.75</v>
      </c>
      <c r="M170" s="13">
        <v>982</v>
      </c>
    </row>
    <row r="171" spans="1:13" s="1" customFormat="1" ht="48" customHeight="1" x14ac:dyDescent="0.2">
      <c r="A171" s="21"/>
      <c r="B171" s="22"/>
      <c r="C171" s="22"/>
      <c r="D171" s="23"/>
      <c r="E171" s="24"/>
      <c r="F171" s="27"/>
      <c r="G171" s="25"/>
      <c r="H171" s="25"/>
      <c r="I171" s="24"/>
      <c r="J171" s="15" t="str">
        <f xml:space="preserve"> IF(K170 = 980, K171,IF(K170 = 840,IF($L$3&gt;0,"грн",K171),IF(K170=982,IF($N$3&gt;0,"грн",K171))))</f>
        <v>EUR</v>
      </c>
      <c r="K171" s="16" t="s">
        <v>176</v>
      </c>
      <c r="L171" s="15" t="str">
        <f xml:space="preserve"> IF(M170 = 980, M171,IF(M170 = 840,IF($L$3&gt;0,"грн",M171),IF(M170=982,IF($N$3&gt;0,"грн",M171))))</f>
        <v>EUR</v>
      </c>
      <c r="M171" s="16" t="s">
        <v>176</v>
      </c>
    </row>
    <row r="172" spans="1:13" s="1" customFormat="1" ht="48" customHeight="1" x14ac:dyDescent="0.2">
      <c r="A172" s="21"/>
      <c r="B172" s="22" t="s">
        <v>173</v>
      </c>
      <c r="C172" s="22"/>
      <c r="D172" s="23" t="s">
        <v>191</v>
      </c>
      <c r="E172" s="24" t="s">
        <v>192</v>
      </c>
      <c r="F172" s="27">
        <v>8.25</v>
      </c>
      <c r="G172" s="25">
        <v>25</v>
      </c>
      <c r="H172" s="25">
        <v>25</v>
      </c>
      <c r="I172" s="24" t="s">
        <v>42</v>
      </c>
      <c r="J172" s="12">
        <f>21.685 * IF(K172 = 980, 1, IF(K172 = 840,IF($L$3&gt;0,$L$3,1),IF(K172=982,IF($N$3&gt;0,$N$3,1))))</f>
        <v>21.684999999999999</v>
      </c>
      <c r="K172" s="13">
        <v>982</v>
      </c>
      <c r="L172" s="14">
        <f>26.02 * IF(M172 = 980, 1, IF(M172 = 840,IF($L$3&gt;0,$L$3,1),IF(M172=982,IF($N$3&gt;0,$N$3,1))))</f>
        <v>26.02</v>
      </c>
      <c r="M172" s="13">
        <v>982</v>
      </c>
    </row>
    <row r="173" spans="1:13" s="1" customFormat="1" ht="48" customHeight="1" x14ac:dyDescent="0.2">
      <c r="A173" s="21"/>
      <c r="B173" s="22"/>
      <c r="C173" s="22"/>
      <c r="D173" s="23"/>
      <c r="E173" s="24"/>
      <c r="F173" s="27"/>
      <c r="G173" s="25"/>
      <c r="H173" s="25"/>
      <c r="I173" s="24"/>
      <c r="J173" s="15" t="str">
        <f xml:space="preserve"> IF(K172 = 980, K173,IF(K172 = 840,IF($L$3&gt;0,"грн",K173),IF(K172=982,IF($N$3&gt;0,"грн",K173))))</f>
        <v>EUR</v>
      </c>
      <c r="K173" s="16" t="s">
        <v>176</v>
      </c>
      <c r="L173" s="15" t="str">
        <f xml:space="preserve"> IF(M172 = 980, M173,IF(M172 = 840,IF($L$3&gt;0,"грн",M173),IF(M172=982,IF($N$3&gt;0,"грн",M173))))</f>
        <v>EUR</v>
      </c>
      <c r="M173" s="16" t="s">
        <v>176</v>
      </c>
    </row>
    <row r="174" spans="1:13" s="1" customFormat="1" ht="48" customHeight="1" x14ac:dyDescent="0.2">
      <c r="A174" s="21"/>
      <c r="B174" s="22" t="s">
        <v>173</v>
      </c>
      <c r="C174" s="22"/>
      <c r="D174" s="23" t="s">
        <v>193</v>
      </c>
      <c r="E174" s="24" t="s">
        <v>194</v>
      </c>
      <c r="F174" s="26">
        <v>16.5</v>
      </c>
      <c r="G174" s="25">
        <v>25</v>
      </c>
      <c r="H174" s="25">
        <v>50</v>
      </c>
      <c r="I174" s="24" t="s">
        <v>51</v>
      </c>
      <c r="J174" s="12">
        <f>43.369 * IF(K174 = 980, 1, IF(K174 = 840,IF($L$3&gt;0,$L$3,1),IF(K174=982,IF($N$3&gt;0,$N$3,1))))</f>
        <v>43.369</v>
      </c>
      <c r="K174" s="13">
        <v>982</v>
      </c>
      <c r="L174" s="14">
        <f>52.04 * IF(M174 = 980, 1, IF(M174 = 840,IF($L$3&gt;0,$L$3,1),IF(M174=982,IF($N$3&gt;0,$N$3,1))))</f>
        <v>52.04</v>
      </c>
      <c r="M174" s="13">
        <v>982</v>
      </c>
    </row>
    <row r="175" spans="1:13" s="1" customFormat="1" ht="48" customHeight="1" x14ac:dyDescent="0.2">
      <c r="A175" s="21"/>
      <c r="B175" s="22"/>
      <c r="C175" s="22"/>
      <c r="D175" s="23"/>
      <c r="E175" s="24"/>
      <c r="F175" s="26"/>
      <c r="G175" s="25"/>
      <c r="H175" s="25"/>
      <c r="I175" s="24"/>
      <c r="J175" s="15" t="str">
        <f xml:space="preserve"> IF(K174 = 980, K175,IF(K174 = 840,IF($L$3&gt;0,"грн",K175),IF(K174=982,IF($N$3&gt;0,"грн",K175))))</f>
        <v>EUR</v>
      </c>
      <c r="K175" s="16" t="s">
        <v>176</v>
      </c>
      <c r="L175" s="15" t="str">
        <f xml:space="preserve"> IF(M174 = 980, M175,IF(M174 = 840,IF($L$3&gt;0,"грн",M175),IF(M174=982,IF($N$3&gt;0,"грн",M175))))</f>
        <v>EUR</v>
      </c>
      <c r="M175" s="16" t="s">
        <v>176</v>
      </c>
    </row>
    <row r="176" spans="1:13" ht="16.05" customHeight="1" x14ac:dyDescent="0.3">
      <c r="A176" s="10" t="s">
        <v>195</v>
      </c>
      <c r="B176" s="11"/>
      <c r="C176" s="11"/>
      <c r="D176" s="11"/>
      <c r="E176" s="11"/>
      <c r="F176" s="11"/>
      <c r="G176" s="11"/>
      <c r="H176" s="11"/>
      <c r="I176" s="11"/>
      <c r="J176" s="11"/>
    </row>
    <row r="177" spans="1:13" s="1" customFormat="1" ht="48" customHeight="1" x14ac:dyDescent="0.2">
      <c r="A177" s="21"/>
      <c r="B177" s="22" t="s">
        <v>173</v>
      </c>
      <c r="C177" s="22"/>
      <c r="D177" s="23" t="s">
        <v>196</v>
      </c>
      <c r="E177" s="24" t="s">
        <v>197</v>
      </c>
      <c r="F177" s="26">
        <v>1.8</v>
      </c>
      <c r="G177" s="26">
        <v>12.5</v>
      </c>
      <c r="H177" s="25">
        <v>20</v>
      </c>
      <c r="I177" s="24" t="s">
        <v>51</v>
      </c>
      <c r="J177" s="12">
        <f>5.216 * IF(K177 = 980, 1, IF(K177 = 840,IF($L$3&gt;0,$L$3,1),IF(K177=982,IF($N$3&gt;0,$N$3,1))))</f>
        <v>5.2160000000000002</v>
      </c>
      <c r="K177" s="13">
        <v>982</v>
      </c>
      <c r="L177" s="14">
        <f>6.26 * IF(M177 = 980, 1, IF(M177 = 840,IF($L$3&gt;0,$L$3,1),IF(M177=982,IF($N$3&gt;0,$N$3,1))))</f>
        <v>6.26</v>
      </c>
      <c r="M177" s="13">
        <v>982</v>
      </c>
    </row>
    <row r="178" spans="1:13" s="1" customFormat="1" ht="48" customHeight="1" x14ac:dyDescent="0.2">
      <c r="A178" s="21"/>
      <c r="B178" s="22"/>
      <c r="C178" s="22"/>
      <c r="D178" s="23"/>
      <c r="E178" s="24"/>
      <c r="F178" s="26"/>
      <c r="G178" s="26"/>
      <c r="H178" s="25"/>
      <c r="I178" s="24"/>
      <c r="J178" s="15" t="str">
        <f xml:space="preserve"> IF(K177 = 980, K178,IF(K177 = 840,IF($L$3&gt;0,"грн",K178),IF(K177=982,IF($N$3&gt;0,"грн",K178))))</f>
        <v>EUR</v>
      </c>
      <c r="K178" s="16" t="s">
        <v>176</v>
      </c>
      <c r="L178" s="15" t="str">
        <f xml:space="preserve"> IF(M177 = 980, M178,IF(M177 = 840,IF($L$3&gt;0,"грн",M178),IF(M177=982,IF($N$3&gt;0,"грн",M178))))</f>
        <v>EUR</v>
      </c>
      <c r="M178" s="16" t="s">
        <v>176</v>
      </c>
    </row>
    <row r="179" spans="1:13" s="1" customFormat="1" ht="48" customHeight="1" x14ac:dyDescent="0.2">
      <c r="A179" s="21"/>
      <c r="B179" s="22" t="s">
        <v>173</v>
      </c>
      <c r="C179" s="22"/>
      <c r="D179" s="23" t="s">
        <v>198</v>
      </c>
      <c r="E179" s="24" t="s">
        <v>199</v>
      </c>
      <c r="F179" s="27">
        <v>2.25</v>
      </c>
      <c r="G179" s="26">
        <v>12.5</v>
      </c>
      <c r="H179" s="25">
        <v>25</v>
      </c>
      <c r="I179" s="24" t="s">
        <v>51</v>
      </c>
      <c r="J179" s="12">
        <f>6.519 * IF(K179 = 980, 1, IF(K179 = 840,IF($L$3&gt;0,$L$3,1),IF(K179=982,IF($N$3&gt;0,$N$3,1))))</f>
        <v>6.5190000000000001</v>
      </c>
      <c r="K179" s="13">
        <v>982</v>
      </c>
      <c r="L179" s="14">
        <f>7.82 * IF(M179 = 980, 1, IF(M179 = 840,IF($L$3&gt;0,$L$3,1),IF(M179=982,IF($N$3&gt;0,$N$3,1))))</f>
        <v>7.82</v>
      </c>
      <c r="M179" s="13">
        <v>982</v>
      </c>
    </row>
    <row r="180" spans="1:13" s="1" customFormat="1" ht="48" customHeight="1" x14ac:dyDescent="0.2">
      <c r="A180" s="21"/>
      <c r="B180" s="22"/>
      <c r="C180" s="22"/>
      <c r="D180" s="23"/>
      <c r="E180" s="24"/>
      <c r="F180" s="27"/>
      <c r="G180" s="26"/>
      <c r="H180" s="25"/>
      <c r="I180" s="24"/>
      <c r="J180" s="15" t="str">
        <f xml:space="preserve"> IF(K179 = 980, K180,IF(K179 = 840,IF($L$3&gt;0,"грн",K180),IF(K179=982,IF($N$3&gt;0,"грн",K180))))</f>
        <v>EUR</v>
      </c>
      <c r="K180" s="16" t="s">
        <v>176</v>
      </c>
      <c r="L180" s="15" t="str">
        <f xml:space="preserve"> IF(M179 = 980, M180,IF(M179 = 840,IF($L$3&gt;0,"грн",M180),IF(M179=982,IF($N$3&gt;0,"грн",M180))))</f>
        <v>EUR</v>
      </c>
      <c r="M180" s="16" t="s">
        <v>176</v>
      </c>
    </row>
    <row r="181" spans="1:13" s="1" customFormat="1" ht="48" customHeight="1" x14ac:dyDescent="0.2">
      <c r="A181" s="21"/>
      <c r="B181" s="22" t="s">
        <v>173</v>
      </c>
      <c r="C181" s="22"/>
      <c r="D181" s="23" t="s">
        <v>200</v>
      </c>
      <c r="E181" s="24" t="s">
        <v>201</v>
      </c>
      <c r="F181" s="26">
        <v>4.5</v>
      </c>
      <c r="G181" s="26">
        <v>12.5</v>
      </c>
      <c r="H181" s="25">
        <v>50</v>
      </c>
      <c r="I181" s="24" t="s">
        <v>25</v>
      </c>
      <c r="J181" s="12">
        <f>13.038 * IF(K181 = 980, 1, IF(K181 = 840,IF($L$3&gt;0,$L$3,1),IF(K181=982,IF($N$3&gt;0,$N$3,1))))</f>
        <v>13.038</v>
      </c>
      <c r="K181" s="13">
        <v>982</v>
      </c>
      <c r="L181" s="14">
        <f>15.65 * IF(M181 = 980, 1, IF(M181 = 840,IF($L$3&gt;0,$L$3,1),IF(M181=982,IF($N$3&gt;0,$N$3,1))))</f>
        <v>15.65</v>
      </c>
      <c r="M181" s="13">
        <v>982</v>
      </c>
    </row>
    <row r="182" spans="1:13" s="1" customFormat="1" ht="48" customHeight="1" x14ac:dyDescent="0.2">
      <c r="A182" s="21"/>
      <c r="B182" s="22"/>
      <c r="C182" s="22"/>
      <c r="D182" s="23"/>
      <c r="E182" s="24"/>
      <c r="F182" s="26"/>
      <c r="G182" s="26"/>
      <c r="H182" s="25"/>
      <c r="I182" s="24"/>
      <c r="J182" s="15" t="str">
        <f xml:space="preserve"> IF(K181 = 980, K182,IF(K181 = 840,IF($L$3&gt;0,"грн",K182),IF(K181=982,IF($N$3&gt;0,"грн",K182))))</f>
        <v>EUR</v>
      </c>
      <c r="K182" s="16" t="s">
        <v>176</v>
      </c>
      <c r="L182" s="15" t="str">
        <f xml:space="preserve"> IF(M181 = 980, M182,IF(M181 = 840,IF($L$3&gt;0,"грн",M182),IF(M181=982,IF($N$3&gt;0,"грн",M182))))</f>
        <v>EUR</v>
      </c>
      <c r="M182" s="16" t="s">
        <v>176</v>
      </c>
    </row>
    <row r="183" spans="1:13" s="1" customFormat="1" ht="48" customHeight="1" x14ac:dyDescent="0.2">
      <c r="A183" s="21"/>
      <c r="B183" s="22" t="s">
        <v>173</v>
      </c>
      <c r="C183" s="22"/>
      <c r="D183" s="23" t="s">
        <v>202</v>
      </c>
      <c r="E183" s="24" t="s">
        <v>203</v>
      </c>
      <c r="F183" s="25">
        <v>3</v>
      </c>
      <c r="G183" s="25">
        <v>16</v>
      </c>
      <c r="H183" s="25">
        <v>25</v>
      </c>
      <c r="I183" s="24" t="s">
        <v>25</v>
      </c>
      <c r="J183" s="12">
        <f>8.673 * IF(K183 = 980, 1, IF(K183 = 840,IF($L$3&gt;0,$L$3,1),IF(K183=982,IF($N$3&gt;0,$N$3,1))))</f>
        <v>8.673</v>
      </c>
      <c r="K183" s="13">
        <v>982</v>
      </c>
      <c r="L183" s="14">
        <f>10.41 * IF(M183 = 980, 1, IF(M183 = 840,IF($L$3&gt;0,$L$3,1),IF(M183=982,IF($N$3&gt;0,$N$3,1))))</f>
        <v>10.41</v>
      </c>
      <c r="M183" s="13">
        <v>982</v>
      </c>
    </row>
    <row r="184" spans="1:13" s="1" customFormat="1" ht="48" customHeight="1" x14ac:dyDescent="0.2">
      <c r="A184" s="21"/>
      <c r="B184" s="22"/>
      <c r="C184" s="22"/>
      <c r="D184" s="23"/>
      <c r="E184" s="24"/>
      <c r="F184" s="25"/>
      <c r="G184" s="25"/>
      <c r="H184" s="25"/>
      <c r="I184" s="24"/>
      <c r="J184" s="15" t="str">
        <f xml:space="preserve"> IF(K183 = 980, K184,IF(K183 = 840,IF($L$3&gt;0,"грн",K184),IF(K183=982,IF($N$3&gt;0,"грн",K184))))</f>
        <v>EUR</v>
      </c>
      <c r="K184" s="16" t="s">
        <v>176</v>
      </c>
      <c r="L184" s="15" t="str">
        <f xml:space="preserve"> IF(M183 = 980, M184,IF(M183 = 840,IF($L$3&gt;0,"грн",M184),IF(M183=982,IF($N$3&gt;0,"грн",M184))))</f>
        <v>EUR</v>
      </c>
      <c r="M184" s="16" t="s">
        <v>176</v>
      </c>
    </row>
    <row r="185" spans="1:13" s="1" customFormat="1" ht="48" customHeight="1" x14ac:dyDescent="0.2">
      <c r="A185" s="21"/>
      <c r="B185" s="22" t="s">
        <v>173</v>
      </c>
      <c r="C185" s="22"/>
      <c r="D185" s="23" t="s">
        <v>204</v>
      </c>
      <c r="E185" s="24" t="s">
        <v>205</v>
      </c>
      <c r="F185" s="25">
        <v>6</v>
      </c>
      <c r="G185" s="25">
        <v>16</v>
      </c>
      <c r="H185" s="25">
        <v>50</v>
      </c>
      <c r="I185" s="24" t="s">
        <v>25</v>
      </c>
      <c r="J185" s="12">
        <f>17.342 * IF(K185 = 980, 1, IF(K185 = 840,IF($L$3&gt;0,$L$3,1),IF(K185=982,IF($N$3&gt;0,$N$3,1))))</f>
        <v>17.341999999999999</v>
      </c>
      <c r="K185" s="13">
        <v>982</v>
      </c>
      <c r="L185" s="14">
        <f>20.81 * IF(M185 = 980, 1, IF(M185 = 840,IF($L$3&gt;0,$L$3,1),IF(M185=982,IF($N$3&gt;0,$N$3,1))))</f>
        <v>20.81</v>
      </c>
      <c r="M185" s="13">
        <v>982</v>
      </c>
    </row>
    <row r="186" spans="1:13" s="1" customFormat="1" ht="48" customHeight="1" x14ac:dyDescent="0.2">
      <c r="A186" s="21"/>
      <c r="B186" s="22"/>
      <c r="C186" s="22"/>
      <c r="D186" s="23"/>
      <c r="E186" s="24"/>
      <c r="F186" s="25"/>
      <c r="G186" s="25"/>
      <c r="H186" s="25"/>
      <c r="I186" s="24"/>
      <c r="J186" s="15" t="str">
        <f xml:space="preserve"> IF(K185 = 980, K186,IF(K185 = 840,IF($L$3&gt;0,"грн",K186),IF(K185=982,IF($N$3&gt;0,"грн",K186))))</f>
        <v>EUR</v>
      </c>
      <c r="K186" s="16" t="s">
        <v>176</v>
      </c>
      <c r="L186" s="15" t="str">
        <f xml:space="preserve"> IF(M185 = 980, M186,IF(M185 = 840,IF($L$3&gt;0,"грн",M186),IF(M185=982,IF($N$3&gt;0,"грн",M186))))</f>
        <v>EUR</v>
      </c>
      <c r="M186" s="16" t="s">
        <v>176</v>
      </c>
    </row>
    <row r="187" spans="1:13" s="1" customFormat="1" ht="48" customHeight="1" x14ac:dyDescent="0.2">
      <c r="A187" s="21"/>
      <c r="B187" s="22" t="s">
        <v>173</v>
      </c>
      <c r="C187" s="22"/>
      <c r="D187" s="23" t="s">
        <v>206</v>
      </c>
      <c r="E187" s="24" t="s">
        <v>207</v>
      </c>
      <c r="F187" s="26">
        <v>3.8</v>
      </c>
      <c r="G187" s="25">
        <v>19</v>
      </c>
      <c r="H187" s="25">
        <v>20</v>
      </c>
      <c r="I187" s="24" t="s">
        <v>25</v>
      </c>
      <c r="J187" s="12">
        <f>10.405 * IF(K187 = 980, 1, IF(K187 = 840,IF($L$3&gt;0,$L$3,1),IF(K187=982,IF($N$3&gt;0,$N$3,1))))</f>
        <v>10.404999999999999</v>
      </c>
      <c r="K187" s="13">
        <v>982</v>
      </c>
      <c r="L187" s="14">
        <f>12.49 * IF(M187 = 980, 1, IF(M187 = 840,IF($L$3&gt;0,$L$3,1),IF(M187=982,IF($N$3&gt;0,$N$3,1))))</f>
        <v>12.49</v>
      </c>
      <c r="M187" s="13">
        <v>982</v>
      </c>
    </row>
    <row r="188" spans="1:13" s="1" customFormat="1" ht="48" customHeight="1" x14ac:dyDescent="0.2">
      <c r="A188" s="21"/>
      <c r="B188" s="22"/>
      <c r="C188" s="22"/>
      <c r="D188" s="23"/>
      <c r="E188" s="24"/>
      <c r="F188" s="26"/>
      <c r="G188" s="25"/>
      <c r="H188" s="25"/>
      <c r="I188" s="24"/>
      <c r="J188" s="15" t="str">
        <f xml:space="preserve"> IF(K187 = 980, K188,IF(K187 = 840,IF($L$3&gt;0,"грн",K188),IF(K187=982,IF($N$3&gt;0,"грн",K188))))</f>
        <v>EUR</v>
      </c>
      <c r="K188" s="16" t="s">
        <v>176</v>
      </c>
      <c r="L188" s="15" t="str">
        <f xml:space="preserve"> IF(M187 = 980, M188,IF(M187 = 840,IF($L$3&gt;0,"грн",M188),IF(M187=982,IF($N$3&gt;0,"грн",M188))))</f>
        <v>EUR</v>
      </c>
      <c r="M188" s="16" t="s">
        <v>176</v>
      </c>
    </row>
    <row r="189" spans="1:13" s="1" customFormat="1" ht="48" customHeight="1" x14ac:dyDescent="0.2">
      <c r="A189" s="21"/>
      <c r="B189" s="22" t="s">
        <v>173</v>
      </c>
      <c r="C189" s="22"/>
      <c r="D189" s="23" t="s">
        <v>208</v>
      </c>
      <c r="E189" s="24" t="s">
        <v>209</v>
      </c>
      <c r="F189" s="26">
        <v>5.7</v>
      </c>
      <c r="G189" s="25">
        <v>19</v>
      </c>
      <c r="H189" s="25">
        <v>30</v>
      </c>
      <c r="I189" s="24" t="s">
        <v>25</v>
      </c>
      <c r="J189" s="12">
        <f>15.607 * IF(K189 = 980, 1, IF(K189 = 840,IF($L$3&gt;0,$L$3,1),IF(K189=982,IF($N$3&gt;0,$N$3,1))))</f>
        <v>15.606999999999999</v>
      </c>
      <c r="K189" s="13">
        <v>982</v>
      </c>
      <c r="L189" s="14">
        <f>18.73 * IF(M189 = 980, 1, IF(M189 = 840,IF($L$3&gt;0,$L$3,1),IF(M189=982,IF($N$3&gt;0,$N$3,1))))</f>
        <v>18.73</v>
      </c>
      <c r="M189" s="13">
        <v>982</v>
      </c>
    </row>
    <row r="190" spans="1:13" s="1" customFormat="1" ht="48" customHeight="1" x14ac:dyDescent="0.2">
      <c r="A190" s="21"/>
      <c r="B190" s="22"/>
      <c r="C190" s="22"/>
      <c r="D190" s="23"/>
      <c r="E190" s="24"/>
      <c r="F190" s="26"/>
      <c r="G190" s="25"/>
      <c r="H190" s="25"/>
      <c r="I190" s="24"/>
      <c r="J190" s="15" t="str">
        <f xml:space="preserve"> IF(K189 = 980, K190,IF(K189 = 840,IF($L$3&gt;0,"грн",K190),IF(K189=982,IF($N$3&gt;0,"грн",K190))))</f>
        <v>EUR</v>
      </c>
      <c r="K190" s="16" t="s">
        <v>176</v>
      </c>
      <c r="L190" s="15" t="str">
        <f xml:space="preserve"> IF(M189 = 980, M190,IF(M189 = 840,IF($L$3&gt;0,"грн",M190),IF(M189=982,IF($N$3&gt;0,"грн",M190))))</f>
        <v>EUR</v>
      </c>
      <c r="M190" s="16" t="s">
        <v>176</v>
      </c>
    </row>
    <row r="191" spans="1:13" s="1" customFormat="1" ht="48" customHeight="1" x14ac:dyDescent="0.2">
      <c r="A191" s="21"/>
      <c r="B191" s="22" t="s">
        <v>173</v>
      </c>
      <c r="C191" s="22"/>
      <c r="D191" s="23" t="s">
        <v>210</v>
      </c>
      <c r="E191" s="24" t="s">
        <v>211</v>
      </c>
      <c r="F191" s="26">
        <v>9.5</v>
      </c>
      <c r="G191" s="25">
        <v>19</v>
      </c>
      <c r="H191" s="25">
        <v>50</v>
      </c>
      <c r="I191" s="24" t="s">
        <v>25</v>
      </c>
      <c r="J191" s="12">
        <f>26.012 * IF(K191 = 980, 1, IF(K191 = 840,IF($L$3&gt;0,$L$3,1),IF(K191=982,IF($N$3&gt;0,$N$3,1))))</f>
        <v>26.012</v>
      </c>
      <c r="K191" s="13">
        <v>982</v>
      </c>
      <c r="L191" s="14">
        <f>31.21 * IF(M191 = 980, 1, IF(M191 = 840,IF($L$3&gt;0,$L$3,1),IF(M191=982,IF($N$3&gt;0,$N$3,1))))</f>
        <v>31.21</v>
      </c>
      <c r="M191" s="13">
        <v>982</v>
      </c>
    </row>
    <row r="192" spans="1:13" s="1" customFormat="1" ht="48" customHeight="1" x14ac:dyDescent="0.2">
      <c r="A192" s="21"/>
      <c r="B192" s="22"/>
      <c r="C192" s="22"/>
      <c r="D192" s="23"/>
      <c r="E192" s="24"/>
      <c r="F192" s="26"/>
      <c r="G192" s="25"/>
      <c r="H192" s="25"/>
      <c r="I192" s="24"/>
      <c r="J192" s="15" t="str">
        <f xml:space="preserve"> IF(K191 = 980, K192,IF(K191 = 840,IF($L$3&gt;0,"грн",K192),IF(K191=982,IF($N$3&gt;0,"грн",K192))))</f>
        <v>EUR</v>
      </c>
      <c r="K192" s="16" t="s">
        <v>176</v>
      </c>
      <c r="L192" s="15" t="str">
        <f xml:space="preserve"> IF(M191 = 980, M192,IF(M191 = 840,IF($L$3&gt;0,"грн",M192),IF(M191=982,IF($N$3&gt;0,"грн",M192))))</f>
        <v>EUR</v>
      </c>
      <c r="M192" s="16" t="s">
        <v>176</v>
      </c>
    </row>
    <row r="193" spans="1:13" ht="16.05" customHeight="1" x14ac:dyDescent="0.3">
      <c r="A193" s="10" t="s">
        <v>212</v>
      </c>
      <c r="B193" s="11"/>
      <c r="C193" s="11"/>
      <c r="D193" s="11"/>
      <c r="E193" s="11"/>
      <c r="F193" s="11"/>
      <c r="G193" s="11"/>
      <c r="H193" s="11"/>
      <c r="I193" s="11"/>
      <c r="J193" s="11"/>
    </row>
    <row r="194" spans="1:13" s="1" customFormat="1" ht="48" customHeight="1" x14ac:dyDescent="0.2">
      <c r="A194" s="21"/>
      <c r="B194" s="22" t="s">
        <v>173</v>
      </c>
      <c r="C194" s="22"/>
      <c r="D194" s="23" t="s">
        <v>213</v>
      </c>
      <c r="E194" s="24" t="s">
        <v>214</v>
      </c>
      <c r="F194" s="26">
        <v>2.2000000000000002</v>
      </c>
      <c r="G194" s="26">
        <v>12.5</v>
      </c>
      <c r="H194" s="25">
        <v>20</v>
      </c>
      <c r="I194" s="24" t="s">
        <v>25</v>
      </c>
      <c r="J194" s="12">
        <f>5.549 * IF(K194 = 980, 1, IF(K194 = 840,IF($L$3&gt;0,$L$3,1),IF(K194=982,IF($N$3&gt;0,$N$3,1))))</f>
        <v>5.5490000000000004</v>
      </c>
      <c r="K194" s="13">
        <v>982</v>
      </c>
      <c r="L194" s="14">
        <f>6.66 * IF(M194 = 980, 1, IF(M194 = 840,IF($L$3&gt;0,$L$3,1),IF(M194=982,IF($N$3&gt;0,$N$3,1))))</f>
        <v>6.66</v>
      </c>
      <c r="M194" s="13">
        <v>982</v>
      </c>
    </row>
    <row r="195" spans="1:13" s="1" customFormat="1" ht="48" customHeight="1" x14ac:dyDescent="0.2">
      <c r="A195" s="21"/>
      <c r="B195" s="22"/>
      <c r="C195" s="22"/>
      <c r="D195" s="23"/>
      <c r="E195" s="24"/>
      <c r="F195" s="26"/>
      <c r="G195" s="26"/>
      <c r="H195" s="25"/>
      <c r="I195" s="24"/>
      <c r="J195" s="15" t="str">
        <f xml:space="preserve"> IF(K194 = 980, K195,IF(K194 = 840,IF($L$3&gt;0,"грн",K195),IF(K194=982,IF($N$3&gt;0,"грн",K195))))</f>
        <v>EUR</v>
      </c>
      <c r="K195" s="16" t="s">
        <v>176</v>
      </c>
      <c r="L195" s="15" t="str">
        <f xml:space="preserve"> IF(M194 = 980, M195,IF(M194 = 840,IF($L$3&gt;0,"грн",M195),IF(M194=982,IF($N$3&gt;0,"грн",M195))))</f>
        <v>EUR</v>
      </c>
      <c r="M195" s="16" t="s">
        <v>176</v>
      </c>
    </row>
    <row r="196" spans="1:13" s="1" customFormat="1" ht="48" customHeight="1" x14ac:dyDescent="0.2">
      <c r="A196" s="21"/>
      <c r="B196" s="22" t="s">
        <v>173</v>
      </c>
      <c r="C196" s="22"/>
      <c r="D196" s="23" t="s">
        <v>215</v>
      </c>
      <c r="E196" s="24" t="s">
        <v>216</v>
      </c>
      <c r="F196" s="27">
        <v>2.75</v>
      </c>
      <c r="G196" s="26">
        <v>12.5</v>
      </c>
      <c r="H196" s="25">
        <v>25</v>
      </c>
      <c r="I196" s="24" t="s">
        <v>25</v>
      </c>
      <c r="J196" s="12">
        <f>6.938 * IF(K196 = 980, 1, IF(K196 = 840,IF($L$3&gt;0,$L$3,1),IF(K196=982,IF($N$3&gt;0,$N$3,1))))</f>
        <v>6.9379999999999997</v>
      </c>
      <c r="K196" s="13">
        <v>982</v>
      </c>
      <c r="L196" s="14">
        <f>8.33 * IF(M196 = 980, 1, IF(M196 = 840,IF($L$3&gt;0,$L$3,1),IF(M196=982,IF($N$3&gt;0,$N$3,1))))</f>
        <v>8.33</v>
      </c>
      <c r="M196" s="13">
        <v>982</v>
      </c>
    </row>
    <row r="197" spans="1:13" s="1" customFormat="1" ht="48" customHeight="1" x14ac:dyDescent="0.2">
      <c r="A197" s="21"/>
      <c r="B197" s="22"/>
      <c r="C197" s="22"/>
      <c r="D197" s="23"/>
      <c r="E197" s="24"/>
      <c r="F197" s="27"/>
      <c r="G197" s="26"/>
      <c r="H197" s="25"/>
      <c r="I197" s="24"/>
      <c r="J197" s="15" t="str">
        <f xml:space="preserve"> IF(K196 = 980, K197,IF(K196 = 840,IF($L$3&gt;0,"грн",K197),IF(K196=982,IF($N$3&gt;0,"грн",K197))))</f>
        <v>EUR</v>
      </c>
      <c r="K197" s="16" t="s">
        <v>176</v>
      </c>
      <c r="L197" s="15" t="str">
        <f xml:space="preserve"> IF(M196 = 980, M197,IF(M196 = 840,IF($L$3&gt;0,"грн",M197),IF(M196=982,IF($N$3&gt;0,"грн",M197))))</f>
        <v>EUR</v>
      </c>
      <c r="M197" s="16" t="s">
        <v>176</v>
      </c>
    </row>
    <row r="198" spans="1:13" s="1" customFormat="1" ht="48" customHeight="1" x14ac:dyDescent="0.2">
      <c r="A198" s="21"/>
      <c r="B198" s="22" t="s">
        <v>173</v>
      </c>
      <c r="C198" s="22"/>
      <c r="D198" s="23" t="s">
        <v>217</v>
      </c>
      <c r="E198" s="24" t="s">
        <v>218</v>
      </c>
      <c r="F198" s="26">
        <v>5.5</v>
      </c>
      <c r="G198" s="26">
        <v>12.5</v>
      </c>
      <c r="H198" s="25">
        <v>50</v>
      </c>
      <c r="I198" s="24" t="s">
        <v>51</v>
      </c>
      <c r="J198" s="12">
        <f>13.874 * IF(K198 = 980, 1, IF(K198 = 840,IF($L$3&gt;0,$L$3,1),IF(K198=982,IF($N$3&gt;0,$N$3,1))))</f>
        <v>13.874000000000001</v>
      </c>
      <c r="K198" s="13">
        <v>982</v>
      </c>
      <c r="L198" s="14">
        <f>16.65 * IF(M198 = 980, 1, IF(M198 = 840,IF($L$3&gt;0,$L$3,1),IF(M198=982,IF($N$3&gt;0,$N$3,1))))</f>
        <v>16.649999999999999</v>
      </c>
      <c r="M198" s="13">
        <v>982</v>
      </c>
    </row>
    <row r="199" spans="1:13" s="1" customFormat="1" ht="48" customHeight="1" x14ac:dyDescent="0.2">
      <c r="A199" s="21"/>
      <c r="B199" s="22"/>
      <c r="C199" s="22"/>
      <c r="D199" s="23"/>
      <c r="E199" s="24"/>
      <c r="F199" s="26"/>
      <c r="G199" s="26"/>
      <c r="H199" s="25"/>
      <c r="I199" s="24"/>
      <c r="J199" s="15" t="str">
        <f xml:space="preserve"> IF(K198 = 980, K199,IF(K198 = 840,IF($L$3&gt;0,"грн",K199),IF(K198=982,IF($N$3&gt;0,"грн",K199))))</f>
        <v>EUR</v>
      </c>
      <c r="K199" s="16" t="s">
        <v>176</v>
      </c>
      <c r="L199" s="15" t="str">
        <f xml:space="preserve"> IF(M198 = 980, M199,IF(M198 = 840,IF($L$3&gt;0,"грн",M199),IF(M198=982,IF($N$3&gt;0,"грн",M199))))</f>
        <v>EUR</v>
      </c>
      <c r="M199" s="16" t="s">
        <v>176</v>
      </c>
    </row>
    <row r="200" spans="1:13" s="1" customFormat="1" ht="48" customHeight="1" x14ac:dyDescent="0.2">
      <c r="A200" s="21"/>
      <c r="B200" s="22" t="s">
        <v>173</v>
      </c>
      <c r="C200" s="22"/>
      <c r="D200" s="23" t="s">
        <v>219</v>
      </c>
      <c r="E200" s="24" t="s">
        <v>220</v>
      </c>
      <c r="F200" s="27">
        <v>4.75</v>
      </c>
      <c r="G200" s="25">
        <v>19</v>
      </c>
      <c r="H200" s="25">
        <v>25</v>
      </c>
      <c r="I200" s="24" t="s">
        <v>25</v>
      </c>
      <c r="J200" s="12">
        <f>13.874 * IF(K200 = 980, 1, IF(K200 = 840,IF($L$3&gt;0,$L$3,1),IF(K200=982,IF($N$3&gt;0,$N$3,1))))</f>
        <v>13.874000000000001</v>
      </c>
      <c r="K200" s="13">
        <v>982</v>
      </c>
      <c r="L200" s="14">
        <f>16.65 * IF(M200 = 980, 1, IF(M200 = 840,IF($L$3&gt;0,$L$3,1),IF(M200=982,IF($N$3&gt;0,$N$3,1))))</f>
        <v>16.649999999999999</v>
      </c>
      <c r="M200" s="13">
        <v>982</v>
      </c>
    </row>
    <row r="201" spans="1:13" s="1" customFormat="1" ht="48" customHeight="1" x14ac:dyDescent="0.2">
      <c r="A201" s="21"/>
      <c r="B201" s="22"/>
      <c r="C201" s="22"/>
      <c r="D201" s="23"/>
      <c r="E201" s="24"/>
      <c r="F201" s="27"/>
      <c r="G201" s="25"/>
      <c r="H201" s="25"/>
      <c r="I201" s="24"/>
      <c r="J201" s="15" t="str">
        <f xml:space="preserve"> IF(K200 = 980, K201,IF(K200 = 840,IF($L$3&gt;0,"грн",K201),IF(K200=982,IF($N$3&gt;0,"грн",K201))))</f>
        <v>EUR</v>
      </c>
      <c r="K201" s="16" t="s">
        <v>176</v>
      </c>
      <c r="L201" s="15" t="str">
        <f xml:space="preserve"> IF(M200 = 980, M201,IF(M200 = 840,IF($L$3&gt;0,"грн",M201),IF(M200=982,IF($N$3&gt;0,"грн",M201))))</f>
        <v>EUR</v>
      </c>
      <c r="M201" s="16" t="s">
        <v>176</v>
      </c>
    </row>
    <row r="202" spans="1:13" s="1" customFormat="1" ht="48" customHeight="1" x14ac:dyDescent="0.2">
      <c r="A202" s="21"/>
      <c r="B202" s="22" t="s">
        <v>173</v>
      </c>
      <c r="C202" s="22"/>
      <c r="D202" s="23" t="s">
        <v>221</v>
      </c>
      <c r="E202" s="24" t="s">
        <v>222</v>
      </c>
      <c r="F202" s="26">
        <v>9.5</v>
      </c>
      <c r="G202" s="25">
        <v>19</v>
      </c>
      <c r="H202" s="25">
        <v>50</v>
      </c>
      <c r="I202" s="24" t="s">
        <v>25</v>
      </c>
      <c r="J202" s="12">
        <f>27.747 * IF(K202 = 980, 1, IF(K202 = 840,IF($L$3&gt;0,$L$3,1),IF(K202=982,IF($N$3&gt;0,$N$3,1))))</f>
        <v>27.747</v>
      </c>
      <c r="K202" s="13">
        <v>982</v>
      </c>
      <c r="L202" s="17">
        <f>33.3 * IF(M202 = 980, 1, IF(M202 = 840,IF($L$3&gt;0,$L$3,1),IF(M202=982,IF($N$3&gt;0,$N$3,1))))</f>
        <v>33.299999999999997</v>
      </c>
      <c r="M202" s="13">
        <v>982</v>
      </c>
    </row>
    <row r="203" spans="1:13" s="1" customFormat="1" ht="48" customHeight="1" x14ac:dyDescent="0.2">
      <c r="A203" s="21"/>
      <c r="B203" s="22"/>
      <c r="C203" s="22"/>
      <c r="D203" s="23"/>
      <c r="E203" s="24"/>
      <c r="F203" s="26"/>
      <c r="G203" s="25"/>
      <c r="H203" s="25"/>
      <c r="I203" s="24"/>
      <c r="J203" s="15" t="str">
        <f xml:space="preserve"> IF(K202 = 980, K203,IF(K202 = 840,IF($L$3&gt;0,"грн",K203),IF(K202=982,IF($N$3&gt;0,"грн",K203))))</f>
        <v>EUR</v>
      </c>
      <c r="K203" s="16" t="s">
        <v>176</v>
      </c>
      <c r="L203" s="15" t="str">
        <f xml:space="preserve"> IF(M202 = 980, M203,IF(M202 = 840,IF($L$3&gt;0,"грн",M203),IF(M202=982,IF($N$3&gt;0,"грн",M203))))</f>
        <v>EUR</v>
      </c>
      <c r="M203" s="16" t="s">
        <v>176</v>
      </c>
    </row>
    <row r="204" spans="1:13" s="1" customFormat="1" ht="48" customHeight="1" x14ac:dyDescent="0.2">
      <c r="A204" s="21"/>
      <c r="B204" s="22" t="s">
        <v>173</v>
      </c>
      <c r="C204" s="22"/>
      <c r="D204" s="23" t="s">
        <v>223</v>
      </c>
      <c r="E204" s="24" t="s">
        <v>224</v>
      </c>
      <c r="F204" s="27">
        <v>8.25</v>
      </c>
      <c r="G204" s="25">
        <v>25</v>
      </c>
      <c r="H204" s="25">
        <v>25</v>
      </c>
      <c r="I204" s="24" t="s">
        <v>51</v>
      </c>
      <c r="J204" s="12">
        <f>25.435 * IF(K204 = 980, 1, IF(K204 = 840,IF($L$3&gt;0,$L$3,1),IF(K204=982,IF($N$3&gt;0,$N$3,1))))</f>
        <v>25.434999999999999</v>
      </c>
      <c r="K204" s="13">
        <v>982</v>
      </c>
      <c r="L204" s="14">
        <f>30.52 * IF(M204 = 980, 1, IF(M204 = 840,IF($L$3&gt;0,$L$3,1),IF(M204=982,IF($N$3&gt;0,$N$3,1))))</f>
        <v>30.52</v>
      </c>
      <c r="M204" s="13">
        <v>982</v>
      </c>
    </row>
    <row r="205" spans="1:13" s="1" customFormat="1" ht="48" customHeight="1" x14ac:dyDescent="0.2">
      <c r="A205" s="21"/>
      <c r="B205" s="22"/>
      <c r="C205" s="22"/>
      <c r="D205" s="23"/>
      <c r="E205" s="24"/>
      <c r="F205" s="27"/>
      <c r="G205" s="25"/>
      <c r="H205" s="25"/>
      <c r="I205" s="24"/>
      <c r="J205" s="15" t="str">
        <f xml:space="preserve"> IF(K204 = 980, K205,IF(K204 = 840,IF($L$3&gt;0,"грн",K205),IF(K204=982,IF($N$3&gt;0,"грн",K205))))</f>
        <v>EUR</v>
      </c>
      <c r="K205" s="16" t="s">
        <v>176</v>
      </c>
      <c r="L205" s="15" t="str">
        <f xml:space="preserve"> IF(M204 = 980, M205,IF(M204 = 840,IF($L$3&gt;0,"грн",M205),IF(M204=982,IF($N$3&gt;0,"грн",M205))))</f>
        <v>EUR</v>
      </c>
      <c r="M205" s="16" t="s">
        <v>176</v>
      </c>
    </row>
    <row r="206" spans="1:13" s="1" customFormat="1" ht="48" customHeight="1" x14ac:dyDescent="0.2">
      <c r="A206" s="21"/>
      <c r="B206" s="22" t="s">
        <v>173</v>
      </c>
      <c r="C206" s="22"/>
      <c r="D206" s="23" t="s">
        <v>225</v>
      </c>
      <c r="E206" s="24" t="s">
        <v>226</v>
      </c>
      <c r="F206" s="26">
        <v>16.5</v>
      </c>
      <c r="G206" s="25">
        <v>25</v>
      </c>
      <c r="H206" s="25">
        <v>50</v>
      </c>
      <c r="I206" s="24" t="s">
        <v>51</v>
      </c>
      <c r="J206" s="12">
        <f>50.871 * IF(K206 = 980, 1, IF(K206 = 840,IF($L$3&gt;0,$L$3,1),IF(K206=982,IF($N$3&gt;0,$N$3,1))))</f>
        <v>50.871000000000002</v>
      </c>
      <c r="K206" s="13">
        <v>982</v>
      </c>
      <c r="L206" s="14">
        <f>61.05 * IF(M206 = 980, 1, IF(M206 = 840,IF($L$3&gt;0,$L$3,1),IF(M206=982,IF($N$3&gt;0,$N$3,1))))</f>
        <v>61.05</v>
      </c>
      <c r="M206" s="13">
        <v>982</v>
      </c>
    </row>
    <row r="207" spans="1:13" s="1" customFormat="1" ht="48" customHeight="1" x14ac:dyDescent="0.2">
      <c r="A207" s="21"/>
      <c r="B207" s="22"/>
      <c r="C207" s="22"/>
      <c r="D207" s="23"/>
      <c r="E207" s="24"/>
      <c r="F207" s="26"/>
      <c r="G207" s="25"/>
      <c r="H207" s="25"/>
      <c r="I207" s="24"/>
      <c r="J207" s="15" t="str">
        <f xml:space="preserve"> IF(K206 = 980, K207,IF(K206 = 840,IF($L$3&gt;0,"грн",K207),IF(K206=982,IF($N$3&gt;0,"грн",K207))))</f>
        <v>EUR</v>
      </c>
      <c r="K207" s="16" t="s">
        <v>176</v>
      </c>
      <c r="L207" s="15" t="str">
        <f xml:space="preserve"> IF(M206 = 980, M207,IF(M206 = 840,IF($L$3&gt;0,"грн",M207),IF(M206=982,IF($N$3&gt;0,"грн",M207))))</f>
        <v>EUR</v>
      </c>
      <c r="M207" s="16" t="s">
        <v>176</v>
      </c>
    </row>
    <row r="208" spans="1:13" ht="16.05" customHeight="1" x14ac:dyDescent="0.3">
      <c r="A208" s="10" t="s">
        <v>227</v>
      </c>
      <c r="B208" s="11"/>
      <c r="C208" s="11"/>
      <c r="D208" s="11"/>
      <c r="E208" s="11"/>
      <c r="F208" s="11"/>
      <c r="G208" s="11"/>
      <c r="H208" s="11"/>
      <c r="I208" s="11"/>
      <c r="J208" s="11"/>
    </row>
    <row r="209" spans="1:13" s="1" customFormat="1" ht="48" customHeight="1" x14ac:dyDescent="0.2">
      <c r="A209" s="21"/>
      <c r="B209" s="22" t="s">
        <v>173</v>
      </c>
      <c r="C209" s="22"/>
      <c r="D209" s="23" t="s">
        <v>228</v>
      </c>
      <c r="E209" s="24" t="s">
        <v>229</v>
      </c>
      <c r="F209" s="26">
        <v>2.6</v>
      </c>
      <c r="G209" s="26">
        <v>12.5</v>
      </c>
      <c r="H209" s="25">
        <v>20</v>
      </c>
      <c r="I209" s="24" t="s">
        <v>25</v>
      </c>
      <c r="J209" s="12">
        <f>8.016 * IF(K209 = 980, 1, IF(K209 = 840,IF($L$3&gt;0,$L$3,1),IF(K209=982,IF($N$3&gt;0,$N$3,1))))</f>
        <v>8.016</v>
      </c>
      <c r="K209" s="13">
        <v>982</v>
      </c>
      <c r="L209" s="14">
        <f>9.62 * IF(M209 = 980, 1, IF(M209 = 840,IF($L$3&gt;0,$L$3,1),IF(M209=982,IF($N$3&gt;0,$N$3,1))))</f>
        <v>9.6199999999999992</v>
      </c>
      <c r="M209" s="13">
        <v>982</v>
      </c>
    </row>
    <row r="210" spans="1:13" s="1" customFormat="1" ht="48" customHeight="1" x14ac:dyDescent="0.2">
      <c r="A210" s="21"/>
      <c r="B210" s="22"/>
      <c r="C210" s="22"/>
      <c r="D210" s="23"/>
      <c r="E210" s="24"/>
      <c r="F210" s="26"/>
      <c r="G210" s="26"/>
      <c r="H210" s="25"/>
      <c r="I210" s="24"/>
      <c r="J210" s="15" t="str">
        <f xml:space="preserve"> IF(K209 = 980, K210,IF(K209 = 840,IF($L$3&gt;0,"грн",K210),IF(K209=982,IF($N$3&gt;0,"грн",K210))))</f>
        <v>EUR</v>
      </c>
      <c r="K210" s="16" t="s">
        <v>176</v>
      </c>
      <c r="L210" s="15" t="str">
        <f xml:space="preserve"> IF(M209 = 980, M210,IF(M209 = 840,IF($L$3&gt;0,"грн",M210),IF(M209=982,IF($N$3&gt;0,"грн",M210))))</f>
        <v>EUR</v>
      </c>
      <c r="M210" s="16" t="s">
        <v>176</v>
      </c>
    </row>
    <row r="211" spans="1:13" s="1" customFormat="1" ht="48" customHeight="1" x14ac:dyDescent="0.2">
      <c r="A211" s="21"/>
      <c r="B211" s="22" t="s">
        <v>173</v>
      </c>
      <c r="C211" s="22"/>
      <c r="D211" s="23" t="s">
        <v>230</v>
      </c>
      <c r="E211" s="24" t="s">
        <v>231</v>
      </c>
      <c r="F211" s="26">
        <v>3.9</v>
      </c>
      <c r="G211" s="26">
        <v>12.5</v>
      </c>
      <c r="H211" s="25">
        <v>30</v>
      </c>
      <c r="I211" s="24" t="s">
        <v>25</v>
      </c>
      <c r="J211" s="12">
        <f>12.024 * IF(K211 = 980, 1, IF(K211 = 840,IF($L$3&gt;0,$L$3,1),IF(K211=982,IF($N$3&gt;0,$N$3,1))))</f>
        <v>12.023999999999999</v>
      </c>
      <c r="K211" s="13">
        <v>982</v>
      </c>
      <c r="L211" s="14">
        <f>14.43 * IF(M211 = 980, 1, IF(M211 = 840,IF($L$3&gt;0,$L$3,1),IF(M211=982,IF($N$3&gt;0,$N$3,1))))</f>
        <v>14.43</v>
      </c>
      <c r="M211" s="13">
        <v>982</v>
      </c>
    </row>
    <row r="212" spans="1:13" s="1" customFormat="1" ht="48" customHeight="1" x14ac:dyDescent="0.2">
      <c r="A212" s="21"/>
      <c r="B212" s="22"/>
      <c r="C212" s="22"/>
      <c r="D212" s="23"/>
      <c r="E212" s="24"/>
      <c r="F212" s="26"/>
      <c r="G212" s="26"/>
      <c r="H212" s="25"/>
      <c r="I212" s="24"/>
      <c r="J212" s="15" t="str">
        <f xml:space="preserve"> IF(K211 = 980, K212,IF(K211 = 840,IF($L$3&gt;0,"грн",K212),IF(K211=982,IF($N$3&gt;0,"грн",K212))))</f>
        <v>EUR</v>
      </c>
      <c r="K212" s="16" t="s">
        <v>176</v>
      </c>
      <c r="L212" s="15" t="str">
        <f xml:space="preserve"> IF(M211 = 980, M212,IF(M211 = 840,IF($L$3&gt;0,"грн",M212),IF(M211=982,IF($N$3&gt;0,"грн",M212))))</f>
        <v>EUR</v>
      </c>
      <c r="M212" s="16" t="s">
        <v>176</v>
      </c>
    </row>
    <row r="213" spans="1:13" s="1" customFormat="1" ht="48" customHeight="1" x14ac:dyDescent="0.2">
      <c r="A213" s="21"/>
      <c r="B213" s="22" t="s">
        <v>173</v>
      </c>
      <c r="C213" s="22"/>
      <c r="D213" s="23" t="s">
        <v>232</v>
      </c>
      <c r="E213" s="24" t="s">
        <v>233</v>
      </c>
      <c r="F213" s="26">
        <v>6.5</v>
      </c>
      <c r="G213" s="26">
        <v>12.5</v>
      </c>
      <c r="H213" s="25">
        <v>50</v>
      </c>
      <c r="I213" s="24" t="s">
        <v>25</v>
      </c>
      <c r="J213" s="14">
        <f>20.04 * IF(K213 = 980, 1, IF(K213 = 840,IF($L$3&gt;0,$L$3,1),IF(K213=982,IF($N$3&gt;0,$N$3,1))))</f>
        <v>20.04</v>
      </c>
      <c r="K213" s="13">
        <v>982</v>
      </c>
      <c r="L213" s="14">
        <f>24.05 * IF(M213 = 980, 1, IF(M213 = 840,IF($L$3&gt;0,$L$3,1),IF(M213=982,IF($N$3&gt;0,$N$3,1))))</f>
        <v>24.05</v>
      </c>
      <c r="M213" s="13">
        <v>982</v>
      </c>
    </row>
    <row r="214" spans="1:13" s="1" customFormat="1" ht="48" customHeight="1" x14ac:dyDescent="0.2">
      <c r="A214" s="21"/>
      <c r="B214" s="22"/>
      <c r="C214" s="22"/>
      <c r="D214" s="23"/>
      <c r="E214" s="24"/>
      <c r="F214" s="26"/>
      <c r="G214" s="26"/>
      <c r="H214" s="25"/>
      <c r="I214" s="24"/>
      <c r="J214" s="15" t="str">
        <f xml:space="preserve"> IF(K213 = 980, K214,IF(K213 = 840,IF($L$3&gt;0,"грн",K214),IF(K213=982,IF($N$3&gt;0,"грн",K214))))</f>
        <v>EUR</v>
      </c>
      <c r="K214" s="16" t="s">
        <v>176</v>
      </c>
      <c r="L214" s="15" t="str">
        <f xml:space="preserve"> IF(M213 = 980, M214,IF(M213 = 840,IF($L$3&gt;0,"грн",M214),IF(M213=982,IF($N$3&gt;0,"грн",M214))))</f>
        <v>EUR</v>
      </c>
      <c r="M214" s="16" t="s">
        <v>176</v>
      </c>
    </row>
    <row r="215" spans="1:13" s="1" customFormat="1" ht="48" customHeight="1" x14ac:dyDescent="0.2">
      <c r="A215" s="21"/>
      <c r="B215" s="22" t="s">
        <v>173</v>
      </c>
      <c r="C215" s="22"/>
      <c r="D215" s="23" t="s">
        <v>234</v>
      </c>
      <c r="E215" s="24" t="s">
        <v>235</v>
      </c>
      <c r="F215" s="26">
        <v>4.4000000000000004</v>
      </c>
      <c r="G215" s="25">
        <v>19</v>
      </c>
      <c r="H215" s="25">
        <v>20</v>
      </c>
      <c r="I215" s="24" t="s">
        <v>25</v>
      </c>
      <c r="J215" s="12">
        <f>13.565 * IF(K215 = 980, 1, IF(K215 = 840,IF($L$3&gt;0,$L$3,1),IF(K215=982,IF($N$3&gt;0,$N$3,1))))</f>
        <v>13.565</v>
      </c>
      <c r="K215" s="13">
        <v>982</v>
      </c>
      <c r="L215" s="14">
        <f>16.28 * IF(M215 = 980, 1, IF(M215 = 840,IF($L$3&gt;0,$L$3,1),IF(M215=982,IF($N$3&gt;0,$N$3,1))))</f>
        <v>16.28</v>
      </c>
      <c r="M215" s="13">
        <v>982</v>
      </c>
    </row>
    <row r="216" spans="1:13" s="1" customFormat="1" ht="48" customHeight="1" x14ac:dyDescent="0.2">
      <c r="A216" s="21"/>
      <c r="B216" s="22"/>
      <c r="C216" s="22"/>
      <c r="D216" s="23"/>
      <c r="E216" s="24"/>
      <c r="F216" s="26"/>
      <c r="G216" s="25"/>
      <c r="H216" s="25"/>
      <c r="I216" s="24"/>
      <c r="J216" s="15" t="str">
        <f xml:space="preserve"> IF(K215 = 980, K216,IF(K215 = 840,IF($L$3&gt;0,"грн",K216),IF(K215=982,IF($N$3&gt;0,"грн",K216))))</f>
        <v>EUR</v>
      </c>
      <c r="K216" s="16" t="s">
        <v>176</v>
      </c>
      <c r="L216" s="15" t="str">
        <f xml:space="preserve"> IF(M215 = 980, M216,IF(M215 = 840,IF($L$3&gt;0,"грн",M216),IF(M215=982,IF($N$3&gt;0,"грн",M216))))</f>
        <v>EUR</v>
      </c>
      <c r="M216" s="16" t="s">
        <v>176</v>
      </c>
    </row>
    <row r="217" spans="1:13" s="1" customFormat="1" ht="48" customHeight="1" x14ac:dyDescent="0.2">
      <c r="A217" s="21"/>
      <c r="B217" s="22" t="s">
        <v>173</v>
      </c>
      <c r="C217" s="22"/>
      <c r="D217" s="23" t="s">
        <v>236</v>
      </c>
      <c r="E217" s="24" t="s">
        <v>237</v>
      </c>
      <c r="F217" s="26">
        <v>6.6</v>
      </c>
      <c r="G217" s="25">
        <v>19</v>
      </c>
      <c r="H217" s="25">
        <v>30</v>
      </c>
      <c r="I217" s="24" t="s">
        <v>25</v>
      </c>
      <c r="J217" s="12">
        <f>20.349 * IF(K217 = 980, 1, IF(K217 = 840,IF($L$3&gt;0,$L$3,1),IF(K217=982,IF($N$3&gt;0,$N$3,1))))</f>
        <v>20.349</v>
      </c>
      <c r="K217" s="13">
        <v>982</v>
      </c>
      <c r="L217" s="14">
        <f>24.42 * IF(M217 = 980, 1, IF(M217 = 840,IF($L$3&gt;0,$L$3,1),IF(M217=982,IF($N$3&gt;0,$N$3,1))))</f>
        <v>24.42</v>
      </c>
      <c r="M217" s="13">
        <v>982</v>
      </c>
    </row>
    <row r="218" spans="1:13" s="1" customFormat="1" ht="48" customHeight="1" x14ac:dyDescent="0.2">
      <c r="A218" s="21"/>
      <c r="B218" s="22"/>
      <c r="C218" s="22"/>
      <c r="D218" s="23"/>
      <c r="E218" s="24"/>
      <c r="F218" s="26"/>
      <c r="G218" s="25"/>
      <c r="H218" s="25"/>
      <c r="I218" s="24"/>
      <c r="J218" s="15" t="str">
        <f xml:space="preserve"> IF(K217 = 980, K218,IF(K217 = 840,IF($L$3&gt;0,"грн",K218),IF(K217=982,IF($N$3&gt;0,"грн",K218))))</f>
        <v>EUR</v>
      </c>
      <c r="K218" s="16" t="s">
        <v>176</v>
      </c>
      <c r="L218" s="15" t="str">
        <f xml:space="preserve"> IF(M217 = 980, M218,IF(M217 = 840,IF($L$3&gt;0,"грн",M218),IF(M217=982,IF($N$3&gt;0,"грн",M218))))</f>
        <v>EUR</v>
      </c>
      <c r="M218" s="16" t="s">
        <v>176</v>
      </c>
    </row>
    <row r="219" spans="1:13" s="1" customFormat="1" ht="48" customHeight="1" x14ac:dyDescent="0.2">
      <c r="A219" s="21"/>
      <c r="B219" s="22" t="s">
        <v>173</v>
      </c>
      <c r="C219" s="22"/>
      <c r="D219" s="23" t="s">
        <v>238</v>
      </c>
      <c r="E219" s="24" t="s">
        <v>239</v>
      </c>
      <c r="F219" s="25">
        <v>11</v>
      </c>
      <c r="G219" s="25">
        <v>19</v>
      </c>
      <c r="H219" s="25">
        <v>50</v>
      </c>
      <c r="I219" s="24" t="s">
        <v>25</v>
      </c>
      <c r="J219" s="12">
        <f>33.913 * IF(K219 = 980, 1, IF(K219 = 840,IF($L$3&gt;0,$L$3,1),IF(K219=982,IF($N$3&gt;0,$N$3,1))))</f>
        <v>33.912999999999997</v>
      </c>
      <c r="K219" s="13">
        <v>982</v>
      </c>
      <c r="L219" s="17">
        <f>40.7 * IF(M219 = 980, 1, IF(M219 = 840,IF($L$3&gt;0,$L$3,1),IF(M219=982,IF($N$3&gt;0,$N$3,1))))</f>
        <v>40.700000000000003</v>
      </c>
      <c r="M219" s="13">
        <v>982</v>
      </c>
    </row>
    <row r="220" spans="1:13" s="1" customFormat="1" ht="48" customHeight="1" x14ac:dyDescent="0.2">
      <c r="A220" s="21"/>
      <c r="B220" s="22"/>
      <c r="C220" s="22"/>
      <c r="D220" s="23"/>
      <c r="E220" s="24"/>
      <c r="F220" s="25"/>
      <c r="G220" s="25"/>
      <c r="H220" s="25"/>
      <c r="I220" s="24"/>
      <c r="J220" s="15" t="str">
        <f xml:space="preserve"> IF(K219 = 980, K220,IF(K219 = 840,IF($L$3&gt;0,"грн",K220),IF(K219=982,IF($N$3&gt;0,"грн",K220))))</f>
        <v>EUR</v>
      </c>
      <c r="K220" s="16" t="s">
        <v>176</v>
      </c>
      <c r="L220" s="15" t="str">
        <f xml:space="preserve"> IF(M219 = 980, M220,IF(M219 = 840,IF($L$3&gt;0,"грн",M220),IF(M219=982,IF($N$3&gt;0,"грн",M220))))</f>
        <v>EUR</v>
      </c>
      <c r="M220" s="16" t="s">
        <v>176</v>
      </c>
    </row>
    <row r="221" spans="1:13" ht="16.05" customHeight="1" x14ac:dyDescent="0.3">
      <c r="A221" s="10" t="s">
        <v>240</v>
      </c>
      <c r="B221" s="11"/>
      <c r="C221" s="11"/>
      <c r="D221" s="11"/>
      <c r="E221" s="11"/>
      <c r="F221" s="11"/>
      <c r="G221" s="11"/>
      <c r="H221" s="11"/>
      <c r="I221" s="11"/>
      <c r="J221" s="11"/>
    </row>
    <row r="222" spans="1:13" s="1" customFormat="1" ht="48" customHeight="1" x14ac:dyDescent="0.2">
      <c r="A222" s="21"/>
      <c r="B222" s="22" t="s">
        <v>173</v>
      </c>
      <c r="C222" s="22"/>
      <c r="D222" s="23" t="s">
        <v>241</v>
      </c>
      <c r="E222" s="24" t="s">
        <v>242</v>
      </c>
      <c r="F222" s="25">
        <v>2</v>
      </c>
      <c r="G222" s="26">
        <v>12.5</v>
      </c>
      <c r="H222" s="25">
        <v>15</v>
      </c>
      <c r="I222" s="24" t="s">
        <v>51</v>
      </c>
      <c r="J222" s="12">
        <f>6.012 * IF(K222 = 980, 1, IF(K222 = 840,IF($L$3&gt;0,$L$3,1),IF(K222=982,IF($N$3&gt;0,$N$3,1))))</f>
        <v>6.0119999999999996</v>
      </c>
      <c r="K222" s="13">
        <v>982</v>
      </c>
      <c r="L222" s="14">
        <f>7.21 * IF(M222 = 980, 1, IF(M222 = 840,IF($L$3&gt;0,$L$3,1),IF(M222=982,IF($N$3&gt;0,$N$3,1))))</f>
        <v>7.21</v>
      </c>
      <c r="M222" s="13">
        <v>982</v>
      </c>
    </row>
    <row r="223" spans="1:13" s="1" customFormat="1" ht="48" customHeight="1" x14ac:dyDescent="0.2">
      <c r="A223" s="21"/>
      <c r="B223" s="22"/>
      <c r="C223" s="22"/>
      <c r="D223" s="23"/>
      <c r="E223" s="24"/>
      <c r="F223" s="25"/>
      <c r="G223" s="26"/>
      <c r="H223" s="25"/>
      <c r="I223" s="24"/>
      <c r="J223" s="15" t="str">
        <f xml:space="preserve"> IF(K222 = 980, K223,IF(K222 = 840,IF($L$3&gt;0,"грн",K223),IF(K222=982,IF($N$3&gt;0,"грн",K223))))</f>
        <v>EUR</v>
      </c>
      <c r="K223" s="16" t="s">
        <v>176</v>
      </c>
      <c r="L223" s="15" t="str">
        <f xml:space="preserve"> IF(M222 = 980, M223,IF(M222 = 840,IF($L$3&gt;0,"грн",M223),IF(M222=982,IF($N$3&gt;0,"грн",M223))))</f>
        <v>EUR</v>
      </c>
      <c r="M223" s="16" t="s">
        <v>176</v>
      </c>
    </row>
    <row r="224" spans="1:13" s="1" customFormat="1" ht="48" customHeight="1" x14ac:dyDescent="0.2">
      <c r="A224" s="21"/>
      <c r="B224" s="22" t="s">
        <v>173</v>
      </c>
      <c r="C224" s="22"/>
      <c r="D224" s="23" t="s">
        <v>243</v>
      </c>
      <c r="E224" s="24" t="s">
        <v>244</v>
      </c>
      <c r="F224" s="27">
        <v>3.37</v>
      </c>
      <c r="G224" s="26">
        <v>12.5</v>
      </c>
      <c r="H224" s="25">
        <v>25</v>
      </c>
      <c r="I224" s="24" t="s">
        <v>25</v>
      </c>
      <c r="J224" s="14">
        <f>10.02 * IF(K224 = 980, 1, IF(K224 = 840,IF($L$3&gt;0,$L$3,1),IF(K224=982,IF($N$3&gt;0,$N$3,1))))</f>
        <v>10.02</v>
      </c>
      <c r="K224" s="13">
        <v>982</v>
      </c>
      <c r="L224" s="14">
        <f>12.02 * IF(M224 = 980, 1, IF(M224 = 840,IF($L$3&gt;0,$L$3,1),IF(M224=982,IF($N$3&gt;0,$N$3,1))))</f>
        <v>12.02</v>
      </c>
      <c r="M224" s="13">
        <v>982</v>
      </c>
    </row>
    <row r="225" spans="1:13" s="1" customFormat="1" ht="48" customHeight="1" x14ac:dyDescent="0.2">
      <c r="A225" s="21"/>
      <c r="B225" s="22"/>
      <c r="C225" s="22"/>
      <c r="D225" s="23"/>
      <c r="E225" s="24"/>
      <c r="F225" s="27"/>
      <c r="G225" s="26"/>
      <c r="H225" s="25"/>
      <c r="I225" s="24"/>
      <c r="J225" s="15" t="str">
        <f xml:space="preserve"> IF(K224 = 980, K225,IF(K224 = 840,IF($L$3&gt;0,"грн",K225),IF(K224=982,IF($N$3&gt;0,"грн",K225))))</f>
        <v>EUR</v>
      </c>
      <c r="K225" s="16" t="s">
        <v>176</v>
      </c>
      <c r="L225" s="15" t="str">
        <f xml:space="preserve"> IF(M224 = 980, M225,IF(M224 = 840,IF($L$3&gt;0,"грн",M225),IF(M224=982,IF($N$3&gt;0,"грн",M225))))</f>
        <v>EUR</v>
      </c>
      <c r="M225" s="16" t="s">
        <v>176</v>
      </c>
    </row>
    <row r="226" spans="1:13" s="1" customFormat="1" ht="48" customHeight="1" x14ac:dyDescent="0.2">
      <c r="A226" s="21"/>
      <c r="B226" s="22" t="s">
        <v>173</v>
      </c>
      <c r="C226" s="22"/>
      <c r="D226" s="23" t="s">
        <v>245</v>
      </c>
      <c r="E226" s="24" t="s">
        <v>246</v>
      </c>
      <c r="F226" s="27">
        <v>6.75</v>
      </c>
      <c r="G226" s="26">
        <v>12.5</v>
      </c>
      <c r="H226" s="25">
        <v>50</v>
      </c>
      <c r="I226" s="24" t="s">
        <v>25</v>
      </c>
      <c r="J226" s="14">
        <f>20.04 * IF(K226 = 980, 1, IF(K226 = 840,IF($L$3&gt;0,$L$3,1),IF(K226=982,IF($N$3&gt;0,$N$3,1))))</f>
        <v>20.04</v>
      </c>
      <c r="K226" s="13">
        <v>982</v>
      </c>
      <c r="L226" s="14">
        <f>24.05 * IF(M226 = 980, 1, IF(M226 = 840,IF($L$3&gt;0,$L$3,1),IF(M226=982,IF($N$3&gt;0,$N$3,1))))</f>
        <v>24.05</v>
      </c>
      <c r="M226" s="13">
        <v>982</v>
      </c>
    </row>
    <row r="227" spans="1:13" s="1" customFormat="1" ht="48" customHeight="1" x14ac:dyDescent="0.2">
      <c r="A227" s="21"/>
      <c r="B227" s="22"/>
      <c r="C227" s="22"/>
      <c r="D227" s="23"/>
      <c r="E227" s="24"/>
      <c r="F227" s="27"/>
      <c r="G227" s="26"/>
      <c r="H227" s="25"/>
      <c r="I227" s="24"/>
      <c r="J227" s="15" t="str">
        <f xml:space="preserve"> IF(K226 = 980, K227,IF(K226 = 840,IF($L$3&gt;0,"грн",K227),IF(K226=982,IF($N$3&gt;0,"грн",K227))))</f>
        <v>EUR</v>
      </c>
      <c r="K227" s="16" t="s">
        <v>176</v>
      </c>
      <c r="L227" s="15" t="str">
        <f xml:space="preserve"> IF(M226 = 980, M227,IF(M226 = 840,IF($L$3&gt;0,"грн",M227),IF(M226=982,IF($N$3&gt;0,"грн",M227))))</f>
        <v>EUR</v>
      </c>
      <c r="M227" s="16" t="s">
        <v>176</v>
      </c>
    </row>
    <row r="228" spans="1:13" s="1" customFormat="1" ht="48" customHeight="1" x14ac:dyDescent="0.2">
      <c r="A228" s="21"/>
      <c r="B228" s="22" t="s">
        <v>173</v>
      </c>
      <c r="C228" s="22"/>
      <c r="D228" s="23" t="s">
        <v>247</v>
      </c>
      <c r="E228" s="24" t="s">
        <v>248</v>
      </c>
      <c r="F228" s="26">
        <v>2.6</v>
      </c>
      <c r="G228" s="25">
        <v>16</v>
      </c>
      <c r="H228" s="25">
        <v>15</v>
      </c>
      <c r="I228" s="24" t="s">
        <v>51</v>
      </c>
      <c r="J228" s="12">
        <f>6.938 * IF(K228 = 980, 1, IF(K228 = 840,IF($L$3&gt;0,$L$3,1),IF(K228=982,IF($N$3&gt;0,$N$3,1))))</f>
        <v>6.9379999999999997</v>
      </c>
      <c r="K228" s="13">
        <v>982</v>
      </c>
      <c r="L228" s="14">
        <f>8.33 * IF(M228 = 980, 1, IF(M228 = 840,IF($L$3&gt;0,$L$3,1),IF(M228=982,IF($N$3&gt;0,$N$3,1))))</f>
        <v>8.33</v>
      </c>
      <c r="M228" s="13">
        <v>982</v>
      </c>
    </row>
    <row r="229" spans="1:13" s="1" customFormat="1" ht="48" customHeight="1" x14ac:dyDescent="0.2">
      <c r="A229" s="21"/>
      <c r="B229" s="22"/>
      <c r="C229" s="22"/>
      <c r="D229" s="23"/>
      <c r="E229" s="24"/>
      <c r="F229" s="26"/>
      <c r="G229" s="25"/>
      <c r="H229" s="25"/>
      <c r="I229" s="24"/>
      <c r="J229" s="15" t="str">
        <f xml:space="preserve"> IF(K228 = 980, K229,IF(K228 = 840,IF($L$3&gt;0,"грн",K229),IF(K228=982,IF($N$3&gt;0,"грн",K229))))</f>
        <v>EUR</v>
      </c>
      <c r="K229" s="16" t="s">
        <v>176</v>
      </c>
      <c r="L229" s="15" t="str">
        <f xml:space="preserve"> IF(M228 = 980, M229,IF(M228 = 840,IF($L$3&gt;0,"грн",M229),IF(M228=982,IF($N$3&gt;0,"грн",M229))))</f>
        <v>EUR</v>
      </c>
      <c r="M229" s="16" t="s">
        <v>176</v>
      </c>
    </row>
    <row r="230" spans="1:13" s="1" customFormat="1" ht="48" customHeight="1" x14ac:dyDescent="0.2">
      <c r="A230" s="21"/>
      <c r="B230" s="22" t="s">
        <v>173</v>
      </c>
      <c r="C230" s="22"/>
      <c r="D230" s="23" t="s">
        <v>249</v>
      </c>
      <c r="E230" s="24" t="s">
        <v>250</v>
      </c>
      <c r="F230" s="27">
        <v>4.3499999999999996</v>
      </c>
      <c r="G230" s="25">
        <v>16</v>
      </c>
      <c r="H230" s="25">
        <v>25</v>
      </c>
      <c r="I230" s="24" t="s">
        <v>51</v>
      </c>
      <c r="J230" s="12">
        <f>11.562 * IF(K230 = 980, 1, IF(K230 = 840,IF($L$3&gt;0,$L$3,1),IF(K230=982,IF($N$3&gt;0,$N$3,1))))</f>
        <v>11.561999999999999</v>
      </c>
      <c r="K230" s="13">
        <v>982</v>
      </c>
      <c r="L230" s="14">
        <f>13.87 * IF(M230 = 980, 1, IF(M230 = 840,IF($L$3&gt;0,$L$3,1),IF(M230=982,IF($N$3&gt;0,$N$3,1))))</f>
        <v>13.87</v>
      </c>
      <c r="M230" s="13">
        <v>982</v>
      </c>
    </row>
    <row r="231" spans="1:13" s="1" customFormat="1" ht="48" customHeight="1" x14ac:dyDescent="0.2">
      <c r="A231" s="21"/>
      <c r="B231" s="22"/>
      <c r="C231" s="22"/>
      <c r="D231" s="23"/>
      <c r="E231" s="24"/>
      <c r="F231" s="27"/>
      <c r="G231" s="25"/>
      <c r="H231" s="25"/>
      <c r="I231" s="24"/>
      <c r="J231" s="15" t="str">
        <f xml:space="preserve"> IF(K230 = 980, K231,IF(K230 = 840,IF($L$3&gt;0,"грн",K231),IF(K230=982,IF($N$3&gt;0,"грн",K231))))</f>
        <v>EUR</v>
      </c>
      <c r="K231" s="16" t="s">
        <v>176</v>
      </c>
      <c r="L231" s="15" t="str">
        <f xml:space="preserve"> IF(M230 = 980, M231,IF(M230 = 840,IF($L$3&gt;0,"грн",M231),IF(M230=982,IF($N$3&gt;0,"грн",M231))))</f>
        <v>EUR</v>
      </c>
      <c r="M231" s="16" t="s">
        <v>176</v>
      </c>
    </row>
    <row r="232" spans="1:13" s="1" customFormat="1" ht="48" customHeight="1" x14ac:dyDescent="0.2">
      <c r="A232" s="21"/>
      <c r="B232" s="22" t="s">
        <v>173</v>
      </c>
      <c r="C232" s="22"/>
      <c r="D232" s="23" t="s">
        <v>251</v>
      </c>
      <c r="E232" s="24" t="s">
        <v>252</v>
      </c>
      <c r="F232" s="27">
        <v>8.75</v>
      </c>
      <c r="G232" s="25">
        <v>16</v>
      </c>
      <c r="H232" s="25">
        <v>50</v>
      </c>
      <c r="I232" s="24" t="s">
        <v>51</v>
      </c>
      <c r="J232" s="12">
        <f>23.123 * IF(K232 = 980, 1, IF(K232 = 840,IF($L$3&gt;0,$L$3,1),IF(K232=982,IF($N$3&gt;0,$N$3,1))))</f>
        <v>23.123000000000001</v>
      </c>
      <c r="K232" s="13">
        <v>982</v>
      </c>
      <c r="L232" s="14">
        <f>27.75 * IF(M232 = 980, 1, IF(M232 = 840,IF($L$3&gt;0,$L$3,1),IF(M232=982,IF($N$3&gt;0,$N$3,1))))</f>
        <v>27.75</v>
      </c>
      <c r="M232" s="13">
        <v>982</v>
      </c>
    </row>
    <row r="233" spans="1:13" s="1" customFormat="1" ht="48" customHeight="1" x14ac:dyDescent="0.2">
      <c r="A233" s="21"/>
      <c r="B233" s="22"/>
      <c r="C233" s="22"/>
      <c r="D233" s="23"/>
      <c r="E233" s="24"/>
      <c r="F233" s="27"/>
      <c r="G233" s="25"/>
      <c r="H233" s="25"/>
      <c r="I233" s="24"/>
      <c r="J233" s="15" t="str">
        <f xml:space="preserve"> IF(K232 = 980, K233,IF(K232 = 840,IF($L$3&gt;0,"грн",K233),IF(K232=982,IF($N$3&gt;0,"грн",K233))))</f>
        <v>EUR</v>
      </c>
      <c r="K233" s="16" t="s">
        <v>176</v>
      </c>
      <c r="L233" s="15" t="str">
        <f xml:space="preserve"> IF(M232 = 980, M233,IF(M232 = 840,IF($L$3&gt;0,"грн",M233),IF(M232=982,IF($N$3&gt;0,"грн",M233))))</f>
        <v>EUR</v>
      </c>
      <c r="M233" s="16" t="s">
        <v>176</v>
      </c>
    </row>
    <row r="234" spans="1:13" s="1" customFormat="1" ht="48" customHeight="1" x14ac:dyDescent="0.2">
      <c r="A234" s="21"/>
      <c r="B234" s="22" t="s">
        <v>173</v>
      </c>
      <c r="C234" s="22"/>
      <c r="D234" s="23" t="s">
        <v>253</v>
      </c>
      <c r="E234" s="24" t="s">
        <v>254</v>
      </c>
      <c r="F234" s="26">
        <v>3.3</v>
      </c>
      <c r="G234" s="25">
        <v>19</v>
      </c>
      <c r="H234" s="25">
        <v>15</v>
      </c>
      <c r="I234" s="24" t="s">
        <v>25</v>
      </c>
      <c r="J234" s="12">
        <f>10.173 * IF(K234 = 980, 1, IF(K234 = 840,IF($L$3&gt;0,$L$3,1),IF(K234=982,IF($N$3&gt;0,$N$3,1))))</f>
        <v>10.173</v>
      </c>
      <c r="K234" s="13">
        <v>982</v>
      </c>
      <c r="L234" s="14">
        <f>12.21 * IF(M234 = 980, 1, IF(M234 = 840,IF($L$3&gt;0,$L$3,1),IF(M234=982,IF($N$3&gt;0,$N$3,1))))</f>
        <v>12.21</v>
      </c>
      <c r="M234" s="13">
        <v>982</v>
      </c>
    </row>
    <row r="235" spans="1:13" s="1" customFormat="1" ht="48" customHeight="1" x14ac:dyDescent="0.2">
      <c r="A235" s="21"/>
      <c r="B235" s="22"/>
      <c r="C235" s="22"/>
      <c r="D235" s="23"/>
      <c r="E235" s="24"/>
      <c r="F235" s="26"/>
      <c r="G235" s="25"/>
      <c r="H235" s="25"/>
      <c r="I235" s="24"/>
      <c r="J235" s="15" t="str">
        <f xml:space="preserve"> IF(K234 = 980, K235,IF(K234 = 840,IF($L$3&gt;0,"грн",K235),IF(K234=982,IF($N$3&gt;0,"грн",K235))))</f>
        <v>EUR</v>
      </c>
      <c r="K235" s="16" t="s">
        <v>176</v>
      </c>
      <c r="L235" s="15" t="str">
        <f xml:space="preserve"> IF(M234 = 980, M235,IF(M234 = 840,IF($L$3&gt;0,"грн",M235),IF(M234=982,IF($N$3&gt;0,"грн",M235))))</f>
        <v>EUR</v>
      </c>
      <c r="M235" s="16" t="s">
        <v>176</v>
      </c>
    </row>
    <row r="236" spans="1:13" s="1" customFormat="1" ht="48" customHeight="1" x14ac:dyDescent="0.2">
      <c r="A236" s="21"/>
      <c r="B236" s="22" t="s">
        <v>173</v>
      </c>
      <c r="C236" s="22"/>
      <c r="D236" s="23" t="s">
        <v>255</v>
      </c>
      <c r="E236" s="24" t="s">
        <v>256</v>
      </c>
      <c r="F236" s="26">
        <v>5.5</v>
      </c>
      <c r="G236" s="25">
        <v>19</v>
      </c>
      <c r="H236" s="25">
        <v>25</v>
      </c>
      <c r="I236" s="24" t="s">
        <v>25</v>
      </c>
      <c r="J236" s="12">
        <f>16.957 * IF(K236 = 980, 1, IF(K236 = 840,IF($L$3&gt;0,$L$3,1),IF(K236=982,IF($N$3&gt;0,$N$3,1))))</f>
        <v>16.957000000000001</v>
      </c>
      <c r="K236" s="13">
        <v>982</v>
      </c>
      <c r="L236" s="14">
        <f>20.35 * IF(M236 = 980, 1, IF(M236 = 840,IF($L$3&gt;0,$L$3,1),IF(M236=982,IF($N$3&gt;0,$N$3,1))))</f>
        <v>20.350000000000001</v>
      </c>
      <c r="M236" s="13">
        <v>982</v>
      </c>
    </row>
    <row r="237" spans="1:13" s="1" customFormat="1" ht="48" customHeight="1" x14ac:dyDescent="0.2">
      <c r="A237" s="21"/>
      <c r="B237" s="22"/>
      <c r="C237" s="22"/>
      <c r="D237" s="23"/>
      <c r="E237" s="24"/>
      <c r="F237" s="26"/>
      <c r="G237" s="25"/>
      <c r="H237" s="25"/>
      <c r="I237" s="24"/>
      <c r="J237" s="15" t="str">
        <f xml:space="preserve"> IF(K236 = 980, K237,IF(K236 = 840,IF($L$3&gt;0,"грн",K237),IF(K236=982,IF($N$3&gt;0,"грн",K237))))</f>
        <v>EUR</v>
      </c>
      <c r="K237" s="16" t="s">
        <v>176</v>
      </c>
      <c r="L237" s="15" t="str">
        <f xml:space="preserve"> IF(M236 = 980, M237,IF(M236 = 840,IF($L$3&gt;0,"грн",M237),IF(M236=982,IF($N$3&gt;0,"грн",M237))))</f>
        <v>EUR</v>
      </c>
      <c r="M237" s="16" t="s">
        <v>176</v>
      </c>
    </row>
    <row r="238" spans="1:13" s="1" customFormat="1" ht="48" customHeight="1" x14ac:dyDescent="0.2">
      <c r="A238" s="21"/>
      <c r="B238" s="22" t="s">
        <v>173</v>
      </c>
      <c r="C238" s="22"/>
      <c r="D238" s="23" t="s">
        <v>257</v>
      </c>
      <c r="E238" s="24" t="s">
        <v>258</v>
      </c>
      <c r="F238" s="25">
        <v>11</v>
      </c>
      <c r="G238" s="25">
        <v>19</v>
      </c>
      <c r="H238" s="25">
        <v>50</v>
      </c>
      <c r="I238" s="24" t="s">
        <v>25</v>
      </c>
      <c r="J238" s="12">
        <f>33.913 * IF(K238 = 980, 1, IF(K238 = 840,IF($L$3&gt;0,$L$3,1),IF(K238=982,IF($N$3&gt;0,$N$3,1))))</f>
        <v>33.912999999999997</v>
      </c>
      <c r="K238" s="13">
        <v>982</v>
      </c>
      <c r="L238" s="17">
        <f>40.7 * IF(M238 = 980, 1, IF(M238 = 840,IF($L$3&gt;0,$L$3,1),IF(M238=982,IF($N$3&gt;0,$N$3,1))))</f>
        <v>40.700000000000003</v>
      </c>
      <c r="M238" s="13">
        <v>982</v>
      </c>
    </row>
    <row r="239" spans="1:13" s="1" customFormat="1" ht="48" customHeight="1" x14ac:dyDescent="0.2">
      <c r="A239" s="21"/>
      <c r="B239" s="22"/>
      <c r="C239" s="22"/>
      <c r="D239" s="23"/>
      <c r="E239" s="24"/>
      <c r="F239" s="25"/>
      <c r="G239" s="25"/>
      <c r="H239" s="25"/>
      <c r="I239" s="24"/>
      <c r="J239" s="15" t="str">
        <f xml:space="preserve"> IF(K238 = 980, K239,IF(K238 = 840,IF($L$3&gt;0,"грн",K239),IF(K238=982,IF($N$3&gt;0,"грн",K239))))</f>
        <v>EUR</v>
      </c>
      <c r="K239" s="16" t="s">
        <v>176</v>
      </c>
      <c r="L239" s="15" t="str">
        <f xml:space="preserve"> IF(M238 = 980, M239,IF(M238 = 840,IF($L$3&gt;0,"грн",M239),IF(M238=982,IF($N$3&gt;0,"грн",M239))))</f>
        <v>EUR</v>
      </c>
      <c r="M239" s="16" t="s">
        <v>176</v>
      </c>
    </row>
    <row r="240" spans="1:13" s="1" customFormat="1" ht="48" customHeight="1" x14ac:dyDescent="0.2">
      <c r="A240" s="21"/>
      <c r="B240" s="22" t="s">
        <v>173</v>
      </c>
      <c r="C240" s="22"/>
      <c r="D240" s="23" t="s">
        <v>259</v>
      </c>
      <c r="E240" s="24" t="s">
        <v>260</v>
      </c>
      <c r="F240" s="27">
        <v>9.25</v>
      </c>
      <c r="G240" s="25">
        <v>25</v>
      </c>
      <c r="H240" s="25">
        <v>25</v>
      </c>
      <c r="I240" s="24" t="s">
        <v>25</v>
      </c>
      <c r="J240" s="12">
        <f>28.519 * IF(K240 = 980, 1, IF(K240 = 840,IF($L$3&gt;0,$L$3,1),IF(K240=982,IF($N$3&gt;0,$N$3,1))))</f>
        <v>28.518999999999998</v>
      </c>
      <c r="K240" s="13">
        <v>982</v>
      </c>
      <c r="L240" s="14">
        <f>34.22 * IF(M240 = 980, 1, IF(M240 = 840,IF($L$3&gt;0,$L$3,1),IF(M240=982,IF($N$3&gt;0,$N$3,1))))</f>
        <v>34.22</v>
      </c>
      <c r="M240" s="13">
        <v>982</v>
      </c>
    </row>
    <row r="241" spans="1:13" s="1" customFormat="1" ht="48" customHeight="1" x14ac:dyDescent="0.2">
      <c r="A241" s="21"/>
      <c r="B241" s="22"/>
      <c r="C241" s="22"/>
      <c r="D241" s="23"/>
      <c r="E241" s="24"/>
      <c r="F241" s="27"/>
      <c r="G241" s="25"/>
      <c r="H241" s="25"/>
      <c r="I241" s="24"/>
      <c r="J241" s="15" t="str">
        <f xml:space="preserve"> IF(K240 = 980, K241,IF(K240 = 840,IF($L$3&gt;0,"грн",K241),IF(K240=982,IF($N$3&gt;0,"грн",K241))))</f>
        <v>EUR</v>
      </c>
      <c r="K241" s="16" t="s">
        <v>176</v>
      </c>
      <c r="L241" s="15" t="str">
        <f xml:space="preserve"> IF(M240 = 980, M241,IF(M240 = 840,IF($L$3&gt;0,"грн",M241),IF(M240=982,IF($N$3&gt;0,"грн",M241))))</f>
        <v>EUR</v>
      </c>
      <c r="M241" s="16" t="s">
        <v>176</v>
      </c>
    </row>
    <row r="242" spans="1:13" s="1" customFormat="1" ht="48" customHeight="1" x14ac:dyDescent="0.2">
      <c r="A242" s="21"/>
      <c r="B242" s="22" t="s">
        <v>173</v>
      </c>
      <c r="C242" s="22"/>
      <c r="D242" s="23" t="s">
        <v>261</v>
      </c>
      <c r="E242" s="24" t="s">
        <v>262</v>
      </c>
      <c r="F242" s="26">
        <v>18.5</v>
      </c>
      <c r="G242" s="25">
        <v>25</v>
      </c>
      <c r="H242" s="25">
        <v>50</v>
      </c>
      <c r="I242" s="24" t="s">
        <v>25</v>
      </c>
      <c r="J242" s="12">
        <f>57.037 * IF(K242 = 980, 1, IF(K242 = 840,IF($L$3&gt;0,$L$3,1),IF(K242=982,IF($N$3&gt;0,$N$3,1))))</f>
        <v>57.036999999999999</v>
      </c>
      <c r="K242" s="13">
        <v>982</v>
      </c>
      <c r="L242" s="14">
        <f>68.44 * IF(M242 = 980, 1, IF(M242 = 840,IF($L$3&gt;0,$L$3,1),IF(M242=982,IF($N$3&gt;0,$N$3,1))))</f>
        <v>68.44</v>
      </c>
      <c r="M242" s="13">
        <v>982</v>
      </c>
    </row>
    <row r="243" spans="1:13" s="1" customFormat="1" ht="48" customHeight="1" x14ac:dyDescent="0.2">
      <c r="A243" s="21"/>
      <c r="B243" s="22"/>
      <c r="C243" s="22"/>
      <c r="D243" s="23"/>
      <c r="E243" s="24"/>
      <c r="F243" s="26"/>
      <c r="G243" s="25"/>
      <c r="H243" s="25"/>
      <c r="I243" s="24"/>
      <c r="J243" s="15" t="str">
        <f xml:space="preserve"> IF(K242 = 980, K243,IF(K242 = 840,IF($L$3&gt;0,"грн",K243),IF(K242=982,IF($N$3&gt;0,"грн",K243))))</f>
        <v>EUR</v>
      </c>
      <c r="K243" s="16" t="s">
        <v>176</v>
      </c>
      <c r="L243" s="15" t="str">
        <f xml:space="preserve"> IF(M242 = 980, M243,IF(M242 = 840,IF($L$3&gt;0,"грн",M243),IF(M242=982,IF($N$3&gt;0,"грн",M243))))</f>
        <v>EUR</v>
      </c>
      <c r="M243" s="16" t="s">
        <v>176</v>
      </c>
    </row>
    <row r="244" spans="1:13" ht="16.05" customHeight="1" x14ac:dyDescent="0.3">
      <c r="A244" s="10" t="s">
        <v>263</v>
      </c>
      <c r="B244" s="11"/>
      <c r="C244" s="11"/>
      <c r="D244" s="11"/>
      <c r="E244" s="11"/>
      <c r="F244" s="11"/>
      <c r="G244" s="11"/>
      <c r="H244" s="11"/>
      <c r="I244" s="11"/>
      <c r="J244" s="11"/>
    </row>
    <row r="245" spans="1:13" s="1" customFormat="1" ht="48" customHeight="1" x14ac:dyDescent="0.2">
      <c r="A245" s="21"/>
      <c r="B245" s="22" t="s">
        <v>173</v>
      </c>
      <c r="C245" s="22"/>
      <c r="D245" s="23" t="s">
        <v>264</v>
      </c>
      <c r="E245" s="24" t="s">
        <v>265</v>
      </c>
      <c r="F245" s="26">
        <v>1.8</v>
      </c>
      <c r="G245" s="26">
        <v>12.5</v>
      </c>
      <c r="H245" s="25">
        <v>15</v>
      </c>
      <c r="I245" s="24" t="s">
        <v>25</v>
      </c>
      <c r="J245" s="14">
        <f>6.59 * IF(K245 = 980, 1, IF(K245 = 840,IF($L$3&gt;0,$L$3,1),IF(K245=982,IF($N$3&gt;0,$N$3,1))))</f>
        <v>6.59</v>
      </c>
      <c r="K245" s="13">
        <v>982</v>
      </c>
      <c r="L245" s="14">
        <f>7.91 * IF(M245 = 980, 1, IF(M245 = 840,IF($L$3&gt;0,$L$3,1),IF(M245=982,IF($N$3&gt;0,$N$3,1))))</f>
        <v>7.91</v>
      </c>
      <c r="M245" s="13">
        <v>982</v>
      </c>
    </row>
    <row r="246" spans="1:13" s="1" customFormat="1" ht="48" customHeight="1" x14ac:dyDescent="0.2">
      <c r="A246" s="21"/>
      <c r="B246" s="22"/>
      <c r="C246" s="22"/>
      <c r="D246" s="23"/>
      <c r="E246" s="24"/>
      <c r="F246" s="26"/>
      <c r="G246" s="26"/>
      <c r="H246" s="25"/>
      <c r="I246" s="24"/>
      <c r="J246" s="15" t="str">
        <f xml:space="preserve"> IF(K245 = 980, K246,IF(K245 = 840,IF($L$3&gt;0,"грн",K246),IF(K245=982,IF($N$3&gt;0,"грн",K246))))</f>
        <v>EUR</v>
      </c>
      <c r="K246" s="16" t="s">
        <v>176</v>
      </c>
      <c r="L246" s="15" t="str">
        <f xml:space="preserve"> IF(M245 = 980, M246,IF(M245 = 840,IF($L$3&gt;0,"грн",M246),IF(M245=982,IF($N$3&gt;0,"грн",M246))))</f>
        <v>EUR</v>
      </c>
      <c r="M246" s="16" t="s">
        <v>176</v>
      </c>
    </row>
    <row r="247" spans="1:13" s="1" customFormat="1" ht="48" customHeight="1" x14ac:dyDescent="0.2">
      <c r="A247" s="21"/>
      <c r="B247" s="22" t="s">
        <v>173</v>
      </c>
      <c r="C247" s="22"/>
      <c r="D247" s="23" t="s">
        <v>266</v>
      </c>
      <c r="E247" s="24" t="s">
        <v>267</v>
      </c>
      <c r="F247" s="25">
        <v>3</v>
      </c>
      <c r="G247" s="26">
        <v>12.5</v>
      </c>
      <c r="H247" s="25">
        <v>25</v>
      </c>
      <c r="I247" s="24" t="s">
        <v>25</v>
      </c>
      <c r="J247" s="12">
        <f>10.983 * IF(K247 = 980, 1, IF(K247 = 840,IF($L$3&gt;0,$L$3,1),IF(K247=982,IF($N$3&gt;0,$N$3,1))))</f>
        <v>10.983000000000001</v>
      </c>
      <c r="K247" s="13">
        <v>982</v>
      </c>
      <c r="L247" s="14">
        <f>13.18 * IF(M247 = 980, 1, IF(M247 = 840,IF($L$3&gt;0,$L$3,1),IF(M247=982,IF($N$3&gt;0,$N$3,1))))</f>
        <v>13.18</v>
      </c>
      <c r="M247" s="13">
        <v>982</v>
      </c>
    </row>
    <row r="248" spans="1:13" s="1" customFormat="1" ht="48" customHeight="1" x14ac:dyDescent="0.2">
      <c r="A248" s="21"/>
      <c r="B248" s="22"/>
      <c r="C248" s="22"/>
      <c r="D248" s="23"/>
      <c r="E248" s="24"/>
      <c r="F248" s="25"/>
      <c r="G248" s="26"/>
      <c r="H248" s="25"/>
      <c r="I248" s="24"/>
      <c r="J248" s="15" t="str">
        <f xml:space="preserve"> IF(K247 = 980, K248,IF(K247 = 840,IF($L$3&gt;0,"грн",K248),IF(K247=982,IF($N$3&gt;0,"грн",K248))))</f>
        <v>EUR</v>
      </c>
      <c r="K248" s="16" t="s">
        <v>176</v>
      </c>
      <c r="L248" s="15" t="str">
        <f xml:space="preserve"> IF(M247 = 980, M248,IF(M247 = 840,IF($L$3&gt;0,"грн",M248),IF(M247=982,IF($N$3&gt;0,"грн",M248))))</f>
        <v>EUR</v>
      </c>
      <c r="M248" s="16" t="s">
        <v>176</v>
      </c>
    </row>
    <row r="249" spans="1:13" s="1" customFormat="1" ht="48" customHeight="1" x14ac:dyDescent="0.2">
      <c r="A249" s="21"/>
      <c r="B249" s="22" t="s">
        <v>173</v>
      </c>
      <c r="C249" s="22"/>
      <c r="D249" s="23" t="s">
        <v>268</v>
      </c>
      <c r="E249" s="24" t="s">
        <v>269</v>
      </c>
      <c r="F249" s="25">
        <v>6</v>
      </c>
      <c r="G249" s="26">
        <v>12.5</v>
      </c>
      <c r="H249" s="25">
        <v>50</v>
      </c>
      <c r="I249" s="24" t="s">
        <v>25</v>
      </c>
      <c r="J249" s="12">
        <f>21.967 * IF(K249 = 980, 1, IF(K249 = 840,IF($L$3&gt;0,$L$3,1),IF(K249=982,IF($N$3&gt;0,$N$3,1))))</f>
        <v>21.966999999999999</v>
      </c>
      <c r="K249" s="13">
        <v>982</v>
      </c>
      <c r="L249" s="14">
        <f>26.36 * IF(M249 = 980, 1, IF(M249 = 840,IF($L$3&gt;0,$L$3,1),IF(M249=982,IF($N$3&gt;0,$N$3,1))))</f>
        <v>26.36</v>
      </c>
      <c r="M249" s="13">
        <v>982</v>
      </c>
    </row>
    <row r="250" spans="1:13" s="1" customFormat="1" ht="48" customHeight="1" x14ac:dyDescent="0.2">
      <c r="A250" s="21"/>
      <c r="B250" s="22"/>
      <c r="C250" s="22"/>
      <c r="D250" s="23"/>
      <c r="E250" s="24"/>
      <c r="F250" s="25"/>
      <c r="G250" s="26"/>
      <c r="H250" s="25"/>
      <c r="I250" s="24"/>
      <c r="J250" s="15" t="str">
        <f xml:space="preserve"> IF(K249 = 980, K250,IF(K249 = 840,IF($L$3&gt;0,"грн",K250),IF(K249=982,IF($N$3&gt;0,"грн",K250))))</f>
        <v>EUR</v>
      </c>
      <c r="K250" s="16" t="s">
        <v>176</v>
      </c>
      <c r="L250" s="15" t="str">
        <f xml:space="preserve"> IF(M249 = 980, M250,IF(M249 = 840,IF($L$3&gt;0,"грн",M250),IF(M249=982,IF($N$3&gt;0,"грн",M250))))</f>
        <v>EUR</v>
      </c>
      <c r="M250" s="16" t="s">
        <v>176</v>
      </c>
    </row>
    <row r="251" spans="1:13" s="1" customFormat="1" ht="48" customHeight="1" x14ac:dyDescent="0.2">
      <c r="A251" s="21"/>
      <c r="B251" s="22" t="s">
        <v>173</v>
      </c>
      <c r="C251" s="22"/>
      <c r="D251" s="23" t="s">
        <v>270</v>
      </c>
      <c r="E251" s="24" t="s">
        <v>271</v>
      </c>
      <c r="F251" s="27">
        <v>3.75</v>
      </c>
      <c r="G251" s="25">
        <v>16</v>
      </c>
      <c r="H251" s="25">
        <v>25</v>
      </c>
      <c r="I251" s="24" t="s">
        <v>25</v>
      </c>
      <c r="J251" s="12">
        <f>13.745 * IF(K251 = 980, 1, IF(K251 = 840,IF($L$3&gt;0,$L$3,1),IF(K251=982,IF($N$3&gt;0,$N$3,1))))</f>
        <v>13.744999999999999</v>
      </c>
      <c r="K251" s="13">
        <v>982</v>
      </c>
      <c r="L251" s="14">
        <f>16.49 * IF(M251 = 980, 1, IF(M251 = 840,IF($L$3&gt;0,$L$3,1),IF(M251=982,IF($N$3&gt;0,$N$3,1))))</f>
        <v>16.489999999999998</v>
      </c>
      <c r="M251" s="13">
        <v>982</v>
      </c>
    </row>
    <row r="252" spans="1:13" s="1" customFormat="1" ht="48" customHeight="1" x14ac:dyDescent="0.2">
      <c r="A252" s="21"/>
      <c r="B252" s="22"/>
      <c r="C252" s="22"/>
      <c r="D252" s="23"/>
      <c r="E252" s="24"/>
      <c r="F252" s="27"/>
      <c r="G252" s="25"/>
      <c r="H252" s="25"/>
      <c r="I252" s="24"/>
      <c r="J252" s="15" t="str">
        <f xml:space="preserve"> IF(K251 = 980, K252,IF(K251 = 840,IF($L$3&gt;0,"грн",K252),IF(K251=982,IF($N$3&gt;0,"грн",K252))))</f>
        <v>EUR</v>
      </c>
      <c r="K252" s="16" t="s">
        <v>176</v>
      </c>
      <c r="L252" s="15" t="str">
        <f xml:space="preserve"> IF(M251 = 980, M252,IF(M251 = 840,IF($L$3&gt;0,"грн",M252),IF(M251=982,IF($N$3&gt;0,"грн",M252))))</f>
        <v>EUR</v>
      </c>
      <c r="M252" s="16" t="s">
        <v>176</v>
      </c>
    </row>
    <row r="253" spans="1:13" s="1" customFormat="1" ht="48" customHeight="1" x14ac:dyDescent="0.2">
      <c r="A253" s="21"/>
      <c r="B253" s="22" t="s">
        <v>173</v>
      </c>
      <c r="C253" s="22"/>
      <c r="D253" s="23" t="s">
        <v>272</v>
      </c>
      <c r="E253" s="24" t="s">
        <v>273</v>
      </c>
      <c r="F253" s="26">
        <v>7.5</v>
      </c>
      <c r="G253" s="25">
        <v>16</v>
      </c>
      <c r="H253" s="25">
        <v>50</v>
      </c>
      <c r="I253" s="24" t="s">
        <v>25</v>
      </c>
      <c r="J253" s="14">
        <f>27.49 * IF(K253 = 980, 1, IF(K253 = 840,IF($L$3&gt;0,$L$3,1),IF(K253=982,IF($N$3&gt;0,$N$3,1))))</f>
        <v>27.49</v>
      </c>
      <c r="K253" s="13">
        <v>982</v>
      </c>
      <c r="L253" s="14">
        <f>32.99 * IF(M253 = 980, 1, IF(M253 = 840,IF($L$3&gt;0,$L$3,1),IF(M253=982,IF($N$3&gt;0,$N$3,1))))</f>
        <v>32.99</v>
      </c>
      <c r="M253" s="13">
        <v>982</v>
      </c>
    </row>
    <row r="254" spans="1:13" s="1" customFormat="1" ht="48" customHeight="1" x14ac:dyDescent="0.2">
      <c r="A254" s="21"/>
      <c r="B254" s="22"/>
      <c r="C254" s="22"/>
      <c r="D254" s="23"/>
      <c r="E254" s="24"/>
      <c r="F254" s="26"/>
      <c r="G254" s="25"/>
      <c r="H254" s="25"/>
      <c r="I254" s="24"/>
      <c r="J254" s="15" t="str">
        <f xml:space="preserve"> IF(K253 = 980, K254,IF(K253 = 840,IF($L$3&gt;0,"грн",K254),IF(K253=982,IF($N$3&gt;0,"грн",K254))))</f>
        <v>EUR</v>
      </c>
      <c r="K254" s="16" t="s">
        <v>176</v>
      </c>
      <c r="L254" s="15" t="str">
        <f xml:space="preserve"> IF(M253 = 980, M254,IF(M253 = 840,IF($L$3&gt;0,"грн",M254),IF(M253=982,IF($N$3&gt;0,"грн",M254))))</f>
        <v>EUR</v>
      </c>
      <c r="M254" s="16" t="s">
        <v>176</v>
      </c>
    </row>
    <row r="255" spans="1:13" s="1" customFormat="1" ht="48" customHeight="1" x14ac:dyDescent="0.2">
      <c r="A255" s="21"/>
      <c r="B255" s="22" t="s">
        <v>173</v>
      </c>
      <c r="C255" s="22"/>
      <c r="D255" s="23" t="s">
        <v>274</v>
      </c>
      <c r="E255" s="24" t="s">
        <v>275</v>
      </c>
      <c r="F255" s="27">
        <v>3.45</v>
      </c>
      <c r="G255" s="25">
        <v>19</v>
      </c>
      <c r="H255" s="25">
        <v>15</v>
      </c>
      <c r="I255" s="24" t="s">
        <v>25</v>
      </c>
      <c r="J255" s="12">
        <f>12.101 * IF(K255 = 980, 1, IF(K255 = 840,IF($L$3&gt;0,$L$3,1),IF(K255=982,IF($N$3&gt;0,$N$3,1))))</f>
        <v>12.101000000000001</v>
      </c>
      <c r="K255" s="13">
        <v>982</v>
      </c>
      <c r="L255" s="14">
        <f>14.52 * IF(M255 = 980, 1, IF(M255 = 840,IF($L$3&gt;0,$L$3,1),IF(M255=982,IF($N$3&gt;0,$N$3,1))))</f>
        <v>14.52</v>
      </c>
      <c r="M255" s="13">
        <v>982</v>
      </c>
    </row>
    <row r="256" spans="1:13" s="1" customFormat="1" ht="48" customHeight="1" x14ac:dyDescent="0.2">
      <c r="A256" s="21"/>
      <c r="B256" s="22"/>
      <c r="C256" s="22"/>
      <c r="D256" s="23"/>
      <c r="E256" s="24"/>
      <c r="F256" s="27"/>
      <c r="G256" s="25"/>
      <c r="H256" s="25"/>
      <c r="I256" s="24"/>
      <c r="J256" s="15" t="str">
        <f xml:space="preserve"> IF(K255 = 980, K256,IF(K255 = 840,IF($L$3&gt;0,"грн",K256),IF(K255=982,IF($N$3&gt;0,"грн",K256))))</f>
        <v>EUR</v>
      </c>
      <c r="K256" s="16" t="s">
        <v>176</v>
      </c>
      <c r="L256" s="15" t="str">
        <f xml:space="preserve"> IF(M255 = 980, M256,IF(M255 = 840,IF($L$3&gt;0,"грн",M256),IF(M255=982,IF($N$3&gt;0,"грн",M256))))</f>
        <v>EUR</v>
      </c>
      <c r="M256" s="16" t="s">
        <v>176</v>
      </c>
    </row>
    <row r="257" spans="1:13" s="1" customFormat="1" ht="48" customHeight="1" x14ac:dyDescent="0.2">
      <c r="A257" s="21"/>
      <c r="B257" s="22" t="s">
        <v>173</v>
      </c>
      <c r="C257" s="22"/>
      <c r="D257" s="23" t="s">
        <v>276</v>
      </c>
      <c r="E257" s="24" t="s">
        <v>277</v>
      </c>
      <c r="F257" s="27">
        <v>5.75</v>
      </c>
      <c r="G257" s="25">
        <v>19</v>
      </c>
      <c r="H257" s="25">
        <v>25</v>
      </c>
      <c r="I257" s="24" t="s">
        <v>25</v>
      </c>
      <c r="J257" s="12">
        <f>20.169 * IF(K257 = 980, 1, IF(K257 = 840,IF($L$3&gt;0,$L$3,1),IF(K257=982,IF($N$3&gt;0,$N$3,1))))</f>
        <v>20.169</v>
      </c>
      <c r="K257" s="13">
        <v>982</v>
      </c>
      <c r="L257" s="17">
        <f>24.2 * IF(M257 = 980, 1, IF(M257 = 840,IF($L$3&gt;0,$L$3,1),IF(M257=982,IF($N$3&gt;0,$N$3,1))))</f>
        <v>24.2</v>
      </c>
      <c r="M257" s="13">
        <v>982</v>
      </c>
    </row>
    <row r="258" spans="1:13" s="1" customFormat="1" ht="48" customHeight="1" x14ac:dyDescent="0.2">
      <c r="A258" s="21"/>
      <c r="B258" s="22"/>
      <c r="C258" s="22"/>
      <c r="D258" s="23"/>
      <c r="E258" s="24"/>
      <c r="F258" s="27"/>
      <c r="G258" s="25"/>
      <c r="H258" s="25"/>
      <c r="I258" s="24"/>
      <c r="J258" s="15" t="str">
        <f xml:space="preserve"> IF(K257 = 980, K258,IF(K257 = 840,IF($L$3&gt;0,"грн",K258),IF(K257=982,IF($N$3&gt;0,"грн",K258))))</f>
        <v>EUR</v>
      </c>
      <c r="K258" s="16" t="s">
        <v>176</v>
      </c>
      <c r="L258" s="15" t="str">
        <f xml:space="preserve"> IF(M257 = 980, M258,IF(M257 = 840,IF($L$3&gt;0,"грн",M258),IF(M257=982,IF($N$3&gt;0,"грн",M258))))</f>
        <v>EUR</v>
      </c>
      <c r="M258" s="16" t="s">
        <v>176</v>
      </c>
    </row>
    <row r="259" spans="1:13" s="1" customFormat="1" ht="48" customHeight="1" x14ac:dyDescent="0.2">
      <c r="A259" s="21"/>
      <c r="B259" s="22" t="s">
        <v>173</v>
      </c>
      <c r="C259" s="22"/>
      <c r="D259" s="23" t="s">
        <v>278</v>
      </c>
      <c r="E259" s="24" t="s">
        <v>279</v>
      </c>
      <c r="F259" s="26">
        <v>11.5</v>
      </c>
      <c r="G259" s="25">
        <v>19</v>
      </c>
      <c r="H259" s="25">
        <v>50</v>
      </c>
      <c r="I259" s="24" t="s">
        <v>25</v>
      </c>
      <c r="J259" s="12">
        <f>40.337 * IF(K259 = 980, 1, IF(K259 = 840,IF($L$3&gt;0,$L$3,1),IF(K259=982,IF($N$3&gt;0,$N$3,1))))</f>
        <v>40.337000000000003</v>
      </c>
      <c r="K259" s="13">
        <v>982</v>
      </c>
      <c r="L259" s="17">
        <f>48.4 * IF(M259 = 980, 1, IF(M259 = 840,IF($L$3&gt;0,$L$3,1),IF(M259=982,IF($N$3&gt;0,$N$3,1))))</f>
        <v>48.4</v>
      </c>
      <c r="M259" s="13">
        <v>982</v>
      </c>
    </row>
    <row r="260" spans="1:13" s="1" customFormat="1" ht="48" customHeight="1" x14ac:dyDescent="0.2">
      <c r="A260" s="21"/>
      <c r="B260" s="22"/>
      <c r="C260" s="22"/>
      <c r="D260" s="23"/>
      <c r="E260" s="24"/>
      <c r="F260" s="26"/>
      <c r="G260" s="25"/>
      <c r="H260" s="25"/>
      <c r="I260" s="24"/>
      <c r="J260" s="15" t="str">
        <f xml:space="preserve"> IF(K259 = 980, K260,IF(K259 = 840,IF($L$3&gt;0,"грн",K260),IF(K259=982,IF($N$3&gt;0,"грн",K260))))</f>
        <v>EUR</v>
      </c>
      <c r="K260" s="16" t="s">
        <v>176</v>
      </c>
      <c r="L260" s="15" t="str">
        <f xml:space="preserve"> IF(M259 = 980, M260,IF(M259 = 840,IF($L$3&gt;0,"грн",M260),IF(M259=982,IF($N$3&gt;0,"грн",M260))))</f>
        <v>EUR</v>
      </c>
      <c r="M260" s="16" t="s">
        <v>176</v>
      </c>
    </row>
    <row r="261" spans="1:13" ht="16.05" customHeight="1" x14ac:dyDescent="0.3">
      <c r="A261" s="10" t="s">
        <v>280</v>
      </c>
      <c r="B261" s="11"/>
      <c r="C261" s="11"/>
      <c r="D261" s="11"/>
      <c r="E261" s="11"/>
      <c r="F261" s="11"/>
      <c r="G261" s="11"/>
      <c r="H261" s="11"/>
      <c r="I261" s="11"/>
      <c r="J261" s="11"/>
    </row>
    <row r="262" spans="1:13" s="1" customFormat="1" ht="48" customHeight="1" x14ac:dyDescent="0.2">
      <c r="A262" s="21"/>
      <c r="B262" s="22" t="s">
        <v>173</v>
      </c>
      <c r="C262" s="22"/>
      <c r="D262" s="23" t="s">
        <v>281</v>
      </c>
      <c r="E262" s="24" t="s">
        <v>282</v>
      </c>
      <c r="F262" s="25">
        <v>2</v>
      </c>
      <c r="G262" s="26">
        <v>12.5</v>
      </c>
      <c r="H262" s="25">
        <v>15</v>
      </c>
      <c r="I262" s="24" t="s">
        <v>51</v>
      </c>
      <c r="J262" s="12">
        <f>6.667 * IF(K262 = 980, 1, IF(K262 = 840,IF($L$3&gt;0,$L$3,1),IF(K262=982,IF($N$3&gt;0,$N$3,1))))</f>
        <v>6.6669999999999998</v>
      </c>
      <c r="K262" s="13">
        <v>982</v>
      </c>
      <c r="L262" s="18">
        <f>8 * IF(M262 = 980, 1, IF(M262 = 840,IF($L$3&gt;0,$L$3,1),IF(M262=982,IF($N$3&gt;0,$N$3,1))))</f>
        <v>8</v>
      </c>
      <c r="M262" s="13">
        <v>982</v>
      </c>
    </row>
    <row r="263" spans="1:13" s="1" customFormat="1" ht="48" customHeight="1" x14ac:dyDescent="0.2">
      <c r="A263" s="21"/>
      <c r="B263" s="22"/>
      <c r="C263" s="22"/>
      <c r="D263" s="23"/>
      <c r="E263" s="24"/>
      <c r="F263" s="25"/>
      <c r="G263" s="26"/>
      <c r="H263" s="25"/>
      <c r="I263" s="24"/>
      <c r="J263" s="15" t="str">
        <f xml:space="preserve"> IF(K262 = 980, K263,IF(K262 = 840,IF($L$3&gt;0,"грн",K263),IF(K262=982,IF($N$3&gt;0,"грн",K263))))</f>
        <v>EUR</v>
      </c>
      <c r="K263" s="16" t="s">
        <v>176</v>
      </c>
      <c r="L263" s="15" t="str">
        <f xml:space="preserve"> IF(M262 = 980, M263,IF(M262 = 840,IF($L$3&gt;0,"грн",M263),IF(M262=982,IF($N$3&gt;0,"грн",M263))))</f>
        <v>EUR</v>
      </c>
      <c r="M263" s="16" t="s">
        <v>176</v>
      </c>
    </row>
    <row r="264" spans="1:13" s="1" customFormat="1" ht="48" customHeight="1" x14ac:dyDescent="0.2">
      <c r="A264" s="21"/>
      <c r="B264" s="22" t="s">
        <v>173</v>
      </c>
      <c r="C264" s="22"/>
      <c r="D264" s="23" t="s">
        <v>283</v>
      </c>
      <c r="E264" s="24" t="s">
        <v>284</v>
      </c>
      <c r="F264" s="27">
        <v>3.75</v>
      </c>
      <c r="G264" s="26">
        <v>12.5</v>
      </c>
      <c r="H264" s="25">
        <v>25</v>
      </c>
      <c r="I264" s="24" t="s">
        <v>51</v>
      </c>
      <c r="J264" s="12">
        <f>11.112 * IF(K264 = 980, 1, IF(K264 = 840,IF($L$3&gt;0,$L$3,1),IF(K264=982,IF($N$3&gt;0,$N$3,1))))</f>
        <v>11.112</v>
      </c>
      <c r="K264" s="13">
        <v>982</v>
      </c>
      <c r="L264" s="14">
        <f>13.33 * IF(M264 = 980, 1, IF(M264 = 840,IF($L$3&gt;0,$L$3,1),IF(M264=982,IF($N$3&gt;0,$N$3,1))))</f>
        <v>13.33</v>
      </c>
      <c r="M264" s="13">
        <v>982</v>
      </c>
    </row>
    <row r="265" spans="1:13" s="1" customFormat="1" ht="48" customHeight="1" x14ac:dyDescent="0.2">
      <c r="A265" s="21"/>
      <c r="B265" s="22"/>
      <c r="C265" s="22"/>
      <c r="D265" s="23"/>
      <c r="E265" s="24"/>
      <c r="F265" s="27"/>
      <c r="G265" s="26"/>
      <c r="H265" s="25"/>
      <c r="I265" s="24"/>
      <c r="J265" s="15" t="str">
        <f xml:space="preserve"> IF(K264 = 980, K265,IF(K264 = 840,IF($L$3&gt;0,"грн",K265),IF(K264=982,IF($N$3&gt;0,"грн",K265))))</f>
        <v>EUR</v>
      </c>
      <c r="K265" s="16" t="s">
        <v>176</v>
      </c>
      <c r="L265" s="15" t="str">
        <f xml:space="preserve"> IF(M264 = 980, M265,IF(M264 = 840,IF($L$3&gt;0,"грн",M265),IF(M264=982,IF($N$3&gt;0,"грн",M265))))</f>
        <v>EUR</v>
      </c>
      <c r="M265" s="16" t="s">
        <v>176</v>
      </c>
    </row>
    <row r="266" spans="1:13" s="1" customFormat="1" ht="48" customHeight="1" x14ac:dyDescent="0.2">
      <c r="A266" s="21"/>
      <c r="B266" s="22" t="s">
        <v>173</v>
      </c>
      <c r="C266" s="22"/>
      <c r="D266" s="23" t="s">
        <v>285</v>
      </c>
      <c r="E266" s="24" t="s">
        <v>286</v>
      </c>
      <c r="F266" s="27">
        <v>6.75</v>
      </c>
      <c r="G266" s="26">
        <v>12.5</v>
      </c>
      <c r="H266" s="25">
        <v>50</v>
      </c>
      <c r="I266" s="24" t="s">
        <v>25</v>
      </c>
      <c r="J266" s="12">
        <f>22.224 * IF(K266 = 980, 1, IF(K266 = 840,IF($L$3&gt;0,$L$3,1),IF(K266=982,IF($N$3&gt;0,$N$3,1))))</f>
        <v>22.224</v>
      </c>
      <c r="K266" s="13">
        <v>982</v>
      </c>
      <c r="L266" s="14">
        <f>26.67 * IF(M266 = 980, 1, IF(M266 = 840,IF($L$3&gt;0,$L$3,1),IF(M266=982,IF($N$3&gt;0,$N$3,1))))</f>
        <v>26.67</v>
      </c>
      <c r="M266" s="13">
        <v>982</v>
      </c>
    </row>
    <row r="267" spans="1:13" s="1" customFormat="1" ht="48" customHeight="1" x14ac:dyDescent="0.2">
      <c r="A267" s="21"/>
      <c r="B267" s="22"/>
      <c r="C267" s="22"/>
      <c r="D267" s="23"/>
      <c r="E267" s="24"/>
      <c r="F267" s="27"/>
      <c r="G267" s="26"/>
      <c r="H267" s="25"/>
      <c r="I267" s="24"/>
      <c r="J267" s="15" t="str">
        <f xml:space="preserve"> IF(K266 = 980, K267,IF(K266 = 840,IF($L$3&gt;0,"грн",K267),IF(K266=982,IF($N$3&gt;0,"грн",K267))))</f>
        <v>EUR</v>
      </c>
      <c r="K267" s="16" t="s">
        <v>176</v>
      </c>
      <c r="L267" s="15" t="str">
        <f xml:space="preserve"> IF(M266 = 980, M267,IF(M266 = 840,IF($L$3&gt;0,"грн",M267),IF(M266=982,IF($N$3&gt;0,"грн",M267))))</f>
        <v>EUR</v>
      </c>
      <c r="M267" s="16" t="s">
        <v>176</v>
      </c>
    </row>
    <row r="268" spans="1:13" s="1" customFormat="1" ht="48" customHeight="1" x14ac:dyDescent="0.2">
      <c r="A268" s="21"/>
      <c r="B268" s="22" t="s">
        <v>173</v>
      </c>
      <c r="C268" s="22"/>
      <c r="D268" s="23" t="s">
        <v>287</v>
      </c>
      <c r="E268" s="24" t="s">
        <v>288</v>
      </c>
      <c r="F268" s="27">
        <v>4.3499999999999996</v>
      </c>
      <c r="G268" s="25">
        <v>16</v>
      </c>
      <c r="H268" s="25">
        <v>25</v>
      </c>
      <c r="I268" s="24" t="s">
        <v>25</v>
      </c>
      <c r="J268" s="12">
        <f>15.184 * IF(K268 = 980, 1, IF(K268 = 840,IF($L$3&gt;0,$L$3,1),IF(K268=982,IF($N$3&gt;0,$N$3,1))))</f>
        <v>15.183999999999999</v>
      </c>
      <c r="K268" s="13">
        <v>982</v>
      </c>
      <c r="L268" s="14">
        <f>18.22 * IF(M268 = 980, 1, IF(M268 = 840,IF($L$3&gt;0,$L$3,1),IF(M268=982,IF($N$3&gt;0,$N$3,1))))</f>
        <v>18.22</v>
      </c>
      <c r="M268" s="13">
        <v>982</v>
      </c>
    </row>
    <row r="269" spans="1:13" s="1" customFormat="1" ht="48" customHeight="1" x14ac:dyDescent="0.2">
      <c r="A269" s="21"/>
      <c r="B269" s="22"/>
      <c r="C269" s="22"/>
      <c r="D269" s="23"/>
      <c r="E269" s="24"/>
      <c r="F269" s="27"/>
      <c r="G269" s="25"/>
      <c r="H269" s="25"/>
      <c r="I269" s="24"/>
      <c r="J269" s="15" t="str">
        <f xml:space="preserve"> IF(K268 = 980, K269,IF(K268 = 840,IF($L$3&gt;0,"грн",K269),IF(K268=982,IF($N$3&gt;0,"грн",K269))))</f>
        <v>EUR</v>
      </c>
      <c r="K269" s="16" t="s">
        <v>176</v>
      </c>
      <c r="L269" s="15" t="str">
        <f xml:space="preserve"> IF(M268 = 980, M269,IF(M268 = 840,IF($L$3&gt;0,"грн",M269),IF(M268=982,IF($N$3&gt;0,"грн",M269))))</f>
        <v>EUR</v>
      </c>
      <c r="M269" s="16" t="s">
        <v>176</v>
      </c>
    </row>
    <row r="270" spans="1:13" s="1" customFormat="1" ht="48" customHeight="1" x14ac:dyDescent="0.2">
      <c r="A270" s="21"/>
      <c r="B270" s="22" t="s">
        <v>173</v>
      </c>
      <c r="C270" s="22"/>
      <c r="D270" s="23" t="s">
        <v>289</v>
      </c>
      <c r="E270" s="24" t="s">
        <v>290</v>
      </c>
      <c r="F270" s="27">
        <v>4.3499999999999996</v>
      </c>
      <c r="G270" s="25">
        <v>16</v>
      </c>
      <c r="H270" s="25">
        <v>50</v>
      </c>
      <c r="I270" s="24" t="s">
        <v>25</v>
      </c>
      <c r="J270" s="12">
        <f>30.367 * IF(K270 = 980, 1, IF(K270 = 840,IF($L$3&gt;0,$L$3,1),IF(K270=982,IF($N$3&gt;0,$N$3,1))))</f>
        <v>30.367000000000001</v>
      </c>
      <c r="K270" s="13">
        <v>982</v>
      </c>
      <c r="L270" s="14">
        <f>36.44 * IF(M270 = 980, 1, IF(M270 = 840,IF($L$3&gt;0,$L$3,1),IF(M270=982,IF($N$3&gt;0,$N$3,1))))</f>
        <v>36.44</v>
      </c>
      <c r="M270" s="13">
        <v>982</v>
      </c>
    </row>
    <row r="271" spans="1:13" s="1" customFormat="1" ht="48" customHeight="1" x14ac:dyDescent="0.2">
      <c r="A271" s="21"/>
      <c r="B271" s="22"/>
      <c r="C271" s="22"/>
      <c r="D271" s="23"/>
      <c r="E271" s="24"/>
      <c r="F271" s="27"/>
      <c r="G271" s="25"/>
      <c r="H271" s="25"/>
      <c r="I271" s="24"/>
      <c r="J271" s="15" t="str">
        <f xml:space="preserve"> IF(K270 = 980, K271,IF(K270 = 840,IF($L$3&gt;0,"грн",K271),IF(K270=982,IF($N$3&gt;0,"грн",K271))))</f>
        <v>EUR</v>
      </c>
      <c r="K271" s="16" t="s">
        <v>176</v>
      </c>
      <c r="L271" s="15" t="str">
        <f xml:space="preserve"> IF(M270 = 980, M271,IF(M270 = 840,IF($L$3&gt;0,"грн",M271),IF(M270=982,IF($N$3&gt;0,"грн",M271))))</f>
        <v>EUR</v>
      </c>
      <c r="M271" s="16" t="s">
        <v>176</v>
      </c>
    </row>
    <row r="272" spans="1:13" s="1" customFormat="1" ht="48" customHeight="1" x14ac:dyDescent="0.2">
      <c r="A272" s="21"/>
      <c r="B272" s="22" t="s">
        <v>173</v>
      </c>
      <c r="C272" s="22"/>
      <c r="D272" s="23" t="s">
        <v>291</v>
      </c>
      <c r="E272" s="24" t="s">
        <v>292</v>
      </c>
      <c r="F272" s="27">
        <v>3.45</v>
      </c>
      <c r="G272" s="25">
        <v>19</v>
      </c>
      <c r="H272" s="25">
        <v>15</v>
      </c>
      <c r="I272" s="24" t="s">
        <v>25</v>
      </c>
      <c r="J272" s="12">
        <f>13.354 * IF(K272 = 980, 1, IF(K272 = 840,IF($L$3&gt;0,$L$3,1),IF(K272=982,IF($N$3&gt;0,$N$3,1))))</f>
        <v>13.353999999999999</v>
      </c>
      <c r="K272" s="13">
        <v>982</v>
      </c>
      <c r="L272" s="14">
        <f>16.02 * IF(M272 = 980, 1, IF(M272 = 840,IF($L$3&gt;0,$L$3,1),IF(M272=982,IF($N$3&gt;0,$N$3,1))))</f>
        <v>16.02</v>
      </c>
      <c r="M272" s="13">
        <v>982</v>
      </c>
    </row>
    <row r="273" spans="1:13" s="1" customFormat="1" ht="48" customHeight="1" x14ac:dyDescent="0.2">
      <c r="A273" s="21"/>
      <c r="B273" s="22"/>
      <c r="C273" s="22"/>
      <c r="D273" s="23"/>
      <c r="E273" s="24"/>
      <c r="F273" s="27"/>
      <c r="G273" s="25"/>
      <c r="H273" s="25"/>
      <c r="I273" s="24"/>
      <c r="J273" s="15" t="str">
        <f xml:space="preserve"> IF(K272 = 980, K273,IF(K272 = 840,IF($L$3&gt;0,"грн",K273),IF(K272=982,IF($N$3&gt;0,"грн",K273))))</f>
        <v>EUR</v>
      </c>
      <c r="K273" s="16" t="s">
        <v>176</v>
      </c>
      <c r="L273" s="15" t="str">
        <f xml:space="preserve"> IF(M272 = 980, M273,IF(M272 = 840,IF($L$3&gt;0,"грн",M273),IF(M272=982,IF($N$3&gt;0,"грн",M273))))</f>
        <v>EUR</v>
      </c>
      <c r="M273" s="16" t="s">
        <v>176</v>
      </c>
    </row>
    <row r="274" spans="1:13" s="1" customFormat="1" ht="48" customHeight="1" x14ac:dyDescent="0.2">
      <c r="A274" s="21"/>
      <c r="B274" s="22" t="s">
        <v>173</v>
      </c>
      <c r="C274" s="22"/>
      <c r="D274" s="23" t="s">
        <v>293</v>
      </c>
      <c r="E274" s="24" t="s">
        <v>294</v>
      </c>
      <c r="F274" s="27">
        <v>5.75</v>
      </c>
      <c r="G274" s="25">
        <v>19</v>
      </c>
      <c r="H274" s="25">
        <v>25</v>
      </c>
      <c r="I274" s="24" t="s">
        <v>25</v>
      </c>
      <c r="J274" s="12">
        <f>22.256 * IF(K274 = 980, 1, IF(K274 = 840,IF($L$3&gt;0,$L$3,1),IF(K274=982,IF($N$3&gt;0,$N$3,1))))</f>
        <v>22.256</v>
      </c>
      <c r="K274" s="13">
        <v>982</v>
      </c>
      <c r="L274" s="14">
        <f>26.71 * IF(M274 = 980, 1, IF(M274 = 840,IF($L$3&gt;0,$L$3,1),IF(M274=982,IF($N$3&gt;0,$N$3,1))))</f>
        <v>26.71</v>
      </c>
      <c r="M274" s="13">
        <v>982</v>
      </c>
    </row>
    <row r="275" spans="1:13" s="1" customFormat="1" ht="48" customHeight="1" x14ac:dyDescent="0.2">
      <c r="A275" s="21"/>
      <c r="B275" s="22"/>
      <c r="C275" s="22"/>
      <c r="D275" s="23"/>
      <c r="E275" s="24"/>
      <c r="F275" s="27"/>
      <c r="G275" s="25"/>
      <c r="H275" s="25"/>
      <c r="I275" s="24"/>
      <c r="J275" s="15" t="str">
        <f xml:space="preserve"> IF(K274 = 980, K275,IF(K274 = 840,IF($L$3&gt;0,"грн",K275),IF(K274=982,IF($N$3&gt;0,"грн",K275))))</f>
        <v>EUR</v>
      </c>
      <c r="K275" s="16" t="s">
        <v>176</v>
      </c>
      <c r="L275" s="15" t="str">
        <f xml:space="preserve"> IF(M274 = 980, M275,IF(M274 = 840,IF($L$3&gt;0,"грн",M275),IF(M274=982,IF($N$3&gt;0,"грн",M275))))</f>
        <v>EUR</v>
      </c>
      <c r="M275" s="16" t="s">
        <v>176</v>
      </c>
    </row>
    <row r="276" spans="1:13" s="1" customFormat="1" ht="48" customHeight="1" x14ac:dyDescent="0.2">
      <c r="A276" s="21"/>
      <c r="B276" s="22" t="s">
        <v>173</v>
      </c>
      <c r="C276" s="22"/>
      <c r="D276" s="23" t="s">
        <v>295</v>
      </c>
      <c r="E276" s="24" t="s">
        <v>296</v>
      </c>
      <c r="F276" s="26">
        <v>11.5</v>
      </c>
      <c r="G276" s="25">
        <v>19</v>
      </c>
      <c r="H276" s="25">
        <v>50</v>
      </c>
      <c r="I276" s="24" t="s">
        <v>25</v>
      </c>
      <c r="J276" s="12">
        <f>44.512 * IF(K276 = 980, 1, IF(K276 = 840,IF($L$3&gt;0,$L$3,1),IF(K276=982,IF($N$3&gt;0,$N$3,1))))</f>
        <v>44.512</v>
      </c>
      <c r="K276" s="13">
        <v>982</v>
      </c>
      <c r="L276" s="14">
        <f>53.41 * IF(M276 = 980, 1, IF(M276 = 840,IF($L$3&gt;0,$L$3,1),IF(M276=982,IF($N$3&gt;0,$N$3,1))))</f>
        <v>53.41</v>
      </c>
      <c r="M276" s="13">
        <v>982</v>
      </c>
    </row>
    <row r="277" spans="1:13" s="1" customFormat="1" ht="48" customHeight="1" x14ac:dyDescent="0.2">
      <c r="A277" s="21"/>
      <c r="B277" s="22"/>
      <c r="C277" s="22"/>
      <c r="D277" s="23"/>
      <c r="E277" s="24"/>
      <c r="F277" s="26"/>
      <c r="G277" s="25"/>
      <c r="H277" s="25"/>
      <c r="I277" s="24"/>
      <c r="J277" s="15" t="str">
        <f xml:space="preserve"> IF(K276 = 980, K277,IF(K276 = 840,IF($L$3&gt;0,"грн",K277),IF(K276=982,IF($N$3&gt;0,"грн",K277))))</f>
        <v>EUR</v>
      </c>
      <c r="K277" s="16" t="s">
        <v>176</v>
      </c>
      <c r="L277" s="15" t="str">
        <f xml:space="preserve"> IF(M276 = 980, M277,IF(M276 = 840,IF($L$3&gt;0,"грн",M277),IF(M276=982,IF($N$3&gt;0,"грн",M277))))</f>
        <v>EUR</v>
      </c>
      <c r="M277" s="16" t="s">
        <v>176</v>
      </c>
    </row>
    <row r="278" spans="1:13" ht="16.05" customHeight="1" x14ac:dyDescent="0.3">
      <c r="A278" s="10" t="s">
        <v>297</v>
      </c>
      <c r="B278" s="11"/>
      <c r="C278" s="11"/>
      <c r="D278" s="11"/>
      <c r="E278" s="11"/>
      <c r="F278" s="11"/>
      <c r="G278" s="11"/>
      <c r="H278" s="11"/>
      <c r="I278" s="11"/>
      <c r="J278" s="11"/>
    </row>
    <row r="279" spans="1:13" s="1" customFormat="1" ht="48" customHeight="1" x14ac:dyDescent="0.2">
      <c r="A279" s="21"/>
      <c r="B279" s="22" t="s">
        <v>173</v>
      </c>
      <c r="C279" s="22"/>
      <c r="D279" s="23" t="s">
        <v>298</v>
      </c>
      <c r="E279" s="24" t="s">
        <v>299</v>
      </c>
      <c r="F279" s="27">
        <v>6.75</v>
      </c>
      <c r="G279" s="25">
        <v>19</v>
      </c>
      <c r="H279" s="25">
        <v>25</v>
      </c>
      <c r="I279" s="24" t="s">
        <v>25</v>
      </c>
      <c r="J279" s="12">
        <f>19.095 * IF(K279 = 980, 1, IF(K279 = 840,IF($L$3&gt;0,$L$3,1),IF(K279=982,IF($N$3&gt;0,$N$3,1))))</f>
        <v>19.094999999999999</v>
      </c>
      <c r="K279" s="13">
        <v>982</v>
      </c>
      <c r="L279" s="14">
        <f>22.91 * IF(M279 = 980, 1, IF(M279 = 840,IF($L$3&gt;0,$L$3,1),IF(M279=982,IF($N$3&gt;0,$N$3,1))))</f>
        <v>22.91</v>
      </c>
      <c r="M279" s="13">
        <v>982</v>
      </c>
    </row>
    <row r="280" spans="1:13" s="1" customFormat="1" ht="48" customHeight="1" x14ac:dyDescent="0.2">
      <c r="A280" s="21"/>
      <c r="B280" s="22"/>
      <c r="C280" s="22"/>
      <c r="D280" s="23"/>
      <c r="E280" s="24"/>
      <c r="F280" s="27"/>
      <c r="G280" s="25"/>
      <c r="H280" s="25"/>
      <c r="I280" s="24"/>
      <c r="J280" s="15" t="str">
        <f xml:space="preserve"> IF(K279 = 980, K280,IF(K279 = 840,IF($L$3&gt;0,"грн",K280),IF(K279=982,IF($N$3&gt;0,"грн",K280))))</f>
        <v>EUR</v>
      </c>
      <c r="K280" s="16" t="s">
        <v>176</v>
      </c>
      <c r="L280" s="15" t="str">
        <f xml:space="preserve"> IF(M279 = 980, M280,IF(M279 = 840,IF($L$3&gt;0,"грн",M280),IF(M279=982,IF($N$3&gt;0,"грн",M280))))</f>
        <v>EUR</v>
      </c>
      <c r="M280" s="16" t="s">
        <v>176</v>
      </c>
    </row>
    <row r="281" spans="1:13" s="1" customFormat="1" ht="48" customHeight="1" x14ac:dyDescent="0.2">
      <c r="A281" s="21"/>
      <c r="B281" s="22" t="s">
        <v>173</v>
      </c>
      <c r="C281" s="22"/>
      <c r="D281" s="23" t="s">
        <v>300</v>
      </c>
      <c r="E281" s="24" t="s">
        <v>301</v>
      </c>
      <c r="F281" s="26">
        <v>13.5</v>
      </c>
      <c r="G281" s="25">
        <v>19</v>
      </c>
      <c r="H281" s="25">
        <v>50</v>
      </c>
      <c r="I281" s="24" t="s">
        <v>25</v>
      </c>
      <c r="J281" s="12">
        <f>38.191 * IF(K281 = 980, 1, IF(K281 = 840,IF($L$3&gt;0,$L$3,1),IF(K281=982,IF($N$3&gt;0,$N$3,1))))</f>
        <v>38.191000000000003</v>
      </c>
      <c r="K281" s="13">
        <v>982</v>
      </c>
      <c r="L281" s="14">
        <f>45.83 * IF(M281 = 980, 1, IF(M281 = 840,IF($L$3&gt;0,$L$3,1),IF(M281=982,IF($N$3&gt;0,$N$3,1))))</f>
        <v>45.83</v>
      </c>
      <c r="M281" s="13">
        <v>982</v>
      </c>
    </row>
    <row r="282" spans="1:13" s="1" customFormat="1" ht="48" customHeight="1" x14ac:dyDescent="0.2">
      <c r="A282" s="21"/>
      <c r="B282" s="22"/>
      <c r="C282" s="22"/>
      <c r="D282" s="23"/>
      <c r="E282" s="24"/>
      <c r="F282" s="26"/>
      <c r="G282" s="25"/>
      <c r="H282" s="25"/>
      <c r="I282" s="24"/>
      <c r="J282" s="15" t="str">
        <f xml:space="preserve"> IF(K281 = 980, K282,IF(K281 = 840,IF($L$3&gt;0,"грн",K282),IF(K281=982,IF($N$3&gt;0,"грн",K282))))</f>
        <v>EUR</v>
      </c>
      <c r="K282" s="16" t="s">
        <v>176</v>
      </c>
      <c r="L282" s="15" t="str">
        <f xml:space="preserve"> IF(M281 = 980, M282,IF(M281 = 840,IF($L$3&gt;0,"грн",M282),IF(M281=982,IF($N$3&gt;0,"грн",M282))))</f>
        <v>EUR</v>
      </c>
      <c r="M282" s="16" t="s">
        <v>176</v>
      </c>
    </row>
    <row r="283" spans="1:13" ht="16.05" customHeight="1" x14ac:dyDescent="0.3">
      <c r="A283" s="10" t="s">
        <v>302</v>
      </c>
      <c r="B283" s="11"/>
      <c r="C283" s="11"/>
      <c r="D283" s="11"/>
      <c r="E283" s="11"/>
      <c r="F283" s="11"/>
      <c r="G283" s="11"/>
      <c r="H283" s="11"/>
      <c r="I283" s="11"/>
      <c r="J283" s="11"/>
    </row>
    <row r="284" spans="1:13" s="1" customFormat="1" ht="48" customHeight="1" x14ac:dyDescent="0.2">
      <c r="A284" s="21"/>
      <c r="B284" s="22" t="s">
        <v>173</v>
      </c>
      <c r="C284" s="22"/>
      <c r="D284" s="23" t="s">
        <v>303</v>
      </c>
      <c r="E284" s="24" t="s">
        <v>304</v>
      </c>
      <c r="F284" s="27">
        <v>3.37</v>
      </c>
      <c r="G284" s="26">
        <v>12.5</v>
      </c>
      <c r="H284" s="25">
        <v>25</v>
      </c>
      <c r="I284" s="24" t="s">
        <v>25</v>
      </c>
      <c r="J284" s="12">
        <f>12.846 * IF(K284 = 980, 1, IF(K284 = 840,IF($L$3&gt;0,$L$3,1),IF(K284=982,IF($N$3&gt;0,$N$3,1))))</f>
        <v>12.846</v>
      </c>
      <c r="K284" s="13">
        <v>982</v>
      </c>
      <c r="L284" s="14">
        <f>15.42 * IF(M284 = 980, 1, IF(M284 = 840,IF($L$3&gt;0,$L$3,1),IF(M284=982,IF($N$3&gt;0,$N$3,1))))</f>
        <v>15.42</v>
      </c>
      <c r="M284" s="13">
        <v>982</v>
      </c>
    </row>
    <row r="285" spans="1:13" s="1" customFormat="1" ht="48" customHeight="1" x14ac:dyDescent="0.2">
      <c r="A285" s="21"/>
      <c r="B285" s="22"/>
      <c r="C285" s="22"/>
      <c r="D285" s="23"/>
      <c r="E285" s="24"/>
      <c r="F285" s="27"/>
      <c r="G285" s="26"/>
      <c r="H285" s="25"/>
      <c r="I285" s="24"/>
      <c r="J285" s="15" t="str">
        <f xml:space="preserve"> IF(K284 = 980, K285,IF(K284 = 840,IF($L$3&gt;0,"грн",K285),IF(K284=982,IF($N$3&gt;0,"грн",K285))))</f>
        <v>EUR</v>
      </c>
      <c r="K285" s="16" t="s">
        <v>176</v>
      </c>
      <c r="L285" s="15" t="str">
        <f xml:space="preserve"> IF(M284 = 980, M285,IF(M284 = 840,IF($L$3&gt;0,"грн",M285),IF(M284=982,IF($N$3&gt;0,"грн",M285))))</f>
        <v>EUR</v>
      </c>
      <c r="M285" s="16" t="s">
        <v>176</v>
      </c>
    </row>
    <row r="286" spans="1:13" s="1" customFormat="1" ht="48" customHeight="1" x14ac:dyDescent="0.2">
      <c r="A286" s="21"/>
      <c r="B286" s="22" t="s">
        <v>173</v>
      </c>
      <c r="C286" s="22"/>
      <c r="D286" s="23" t="s">
        <v>305</v>
      </c>
      <c r="E286" s="24" t="s">
        <v>306</v>
      </c>
      <c r="F286" s="27">
        <v>6.75</v>
      </c>
      <c r="G286" s="26">
        <v>12.5</v>
      </c>
      <c r="H286" s="25">
        <v>50</v>
      </c>
      <c r="I286" s="24" t="s">
        <v>51</v>
      </c>
      <c r="J286" s="12">
        <f>25.692 * IF(K286 = 980, 1, IF(K286 = 840,IF($L$3&gt;0,$L$3,1),IF(K286=982,IF($N$3&gt;0,$N$3,1))))</f>
        <v>25.692</v>
      </c>
      <c r="K286" s="13">
        <v>982</v>
      </c>
      <c r="L286" s="14">
        <f>30.83 * IF(M286 = 980, 1, IF(M286 = 840,IF($L$3&gt;0,$L$3,1),IF(M286=982,IF($N$3&gt;0,$N$3,1))))</f>
        <v>30.83</v>
      </c>
      <c r="M286" s="13">
        <v>982</v>
      </c>
    </row>
    <row r="287" spans="1:13" s="1" customFormat="1" ht="48" customHeight="1" x14ac:dyDescent="0.2">
      <c r="A287" s="21"/>
      <c r="B287" s="22"/>
      <c r="C287" s="22"/>
      <c r="D287" s="23"/>
      <c r="E287" s="24"/>
      <c r="F287" s="27"/>
      <c r="G287" s="26"/>
      <c r="H287" s="25"/>
      <c r="I287" s="24"/>
      <c r="J287" s="15" t="str">
        <f xml:space="preserve"> IF(K286 = 980, K287,IF(K286 = 840,IF($L$3&gt;0,"грн",K287),IF(K286=982,IF($N$3&gt;0,"грн",K287))))</f>
        <v>EUR</v>
      </c>
      <c r="K287" s="16" t="s">
        <v>176</v>
      </c>
      <c r="L287" s="15" t="str">
        <f xml:space="preserve"> IF(M286 = 980, M287,IF(M286 = 840,IF($L$3&gt;0,"грн",M287),IF(M286=982,IF($N$3&gt;0,"грн",M287))))</f>
        <v>EUR</v>
      </c>
      <c r="M287" s="16" t="s">
        <v>176</v>
      </c>
    </row>
    <row r="288" spans="1:13" s="1" customFormat="1" ht="48" customHeight="1" x14ac:dyDescent="0.2">
      <c r="A288" s="21"/>
      <c r="B288" s="22" t="s">
        <v>173</v>
      </c>
      <c r="C288" s="22"/>
      <c r="D288" s="23" t="s">
        <v>307</v>
      </c>
      <c r="E288" s="24" t="s">
        <v>308</v>
      </c>
      <c r="F288" s="27">
        <v>6.25</v>
      </c>
      <c r="G288" s="25">
        <v>19</v>
      </c>
      <c r="H288" s="25">
        <v>25</v>
      </c>
      <c r="I288" s="24" t="s">
        <v>25</v>
      </c>
      <c r="J288" s="12">
        <f>24.408 * IF(K288 = 980, 1, IF(K288 = 840,IF($L$3&gt;0,$L$3,1),IF(K288=982,IF($N$3&gt;0,$N$3,1))))</f>
        <v>24.408000000000001</v>
      </c>
      <c r="K288" s="13">
        <v>982</v>
      </c>
      <c r="L288" s="14">
        <f>29.29 * IF(M288 = 980, 1, IF(M288 = 840,IF($L$3&gt;0,$L$3,1),IF(M288=982,IF($N$3&gt;0,$N$3,1))))</f>
        <v>29.29</v>
      </c>
      <c r="M288" s="13">
        <v>982</v>
      </c>
    </row>
    <row r="289" spans="1:13" s="1" customFormat="1" ht="48" customHeight="1" x14ac:dyDescent="0.2">
      <c r="A289" s="21"/>
      <c r="B289" s="22"/>
      <c r="C289" s="22"/>
      <c r="D289" s="23"/>
      <c r="E289" s="24"/>
      <c r="F289" s="27"/>
      <c r="G289" s="25"/>
      <c r="H289" s="25"/>
      <c r="I289" s="24"/>
      <c r="J289" s="15" t="str">
        <f xml:space="preserve"> IF(K288 = 980, K289,IF(K288 = 840,IF($L$3&gt;0,"грн",K289),IF(K288=982,IF($N$3&gt;0,"грн",K289))))</f>
        <v>EUR</v>
      </c>
      <c r="K289" s="16" t="s">
        <v>176</v>
      </c>
      <c r="L289" s="15" t="str">
        <f xml:space="preserve"> IF(M288 = 980, M289,IF(M288 = 840,IF($L$3&gt;0,"грн",M289),IF(M288=982,IF($N$3&gt;0,"грн",M289))))</f>
        <v>EUR</v>
      </c>
      <c r="M289" s="16" t="s">
        <v>176</v>
      </c>
    </row>
    <row r="290" spans="1:13" s="1" customFormat="1" ht="48" customHeight="1" x14ac:dyDescent="0.2">
      <c r="A290" s="21"/>
      <c r="B290" s="22" t="s">
        <v>173</v>
      </c>
      <c r="C290" s="22"/>
      <c r="D290" s="23" t="s">
        <v>309</v>
      </c>
      <c r="E290" s="24" t="s">
        <v>310</v>
      </c>
      <c r="F290" s="26">
        <v>12.5</v>
      </c>
      <c r="G290" s="25">
        <v>19</v>
      </c>
      <c r="H290" s="25">
        <v>50</v>
      </c>
      <c r="I290" s="24" t="s">
        <v>25</v>
      </c>
      <c r="J290" s="12">
        <f>48.816 * IF(K290 = 980, 1, IF(K290 = 840,IF($L$3&gt;0,$L$3,1),IF(K290=982,IF($N$3&gt;0,$N$3,1))))</f>
        <v>48.816000000000003</v>
      </c>
      <c r="K290" s="13">
        <v>982</v>
      </c>
      <c r="L290" s="14">
        <f>58.58 * IF(M290 = 980, 1, IF(M290 = 840,IF($L$3&gt;0,$L$3,1),IF(M290=982,IF($N$3&gt;0,$N$3,1))))</f>
        <v>58.58</v>
      </c>
      <c r="M290" s="13">
        <v>982</v>
      </c>
    </row>
    <row r="291" spans="1:13" s="1" customFormat="1" ht="48" customHeight="1" x14ac:dyDescent="0.2">
      <c r="A291" s="21"/>
      <c r="B291" s="22"/>
      <c r="C291" s="22"/>
      <c r="D291" s="23"/>
      <c r="E291" s="24"/>
      <c r="F291" s="26"/>
      <c r="G291" s="25"/>
      <c r="H291" s="25"/>
      <c r="I291" s="24"/>
      <c r="J291" s="15" t="str">
        <f xml:space="preserve"> IF(K290 = 980, K291,IF(K290 = 840,IF($L$3&gt;0,"грн",K291),IF(K290=982,IF($N$3&gt;0,"грн",K291))))</f>
        <v>EUR</v>
      </c>
      <c r="K291" s="16" t="s">
        <v>176</v>
      </c>
      <c r="L291" s="15" t="str">
        <f xml:space="preserve"> IF(M290 = 980, M291,IF(M290 = 840,IF($L$3&gt;0,"грн",M291),IF(M290=982,IF($N$3&gt;0,"грн",M291))))</f>
        <v>EUR</v>
      </c>
      <c r="M291" s="16" t="s">
        <v>176</v>
      </c>
    </row>
    <row r="292" spans="1:13" ht="16.05" customHeight="1" x14ac:dyDescent="0.3">
      <c r="A292" s="10" t="s">
        <v>311</v>
      </c>
      <c r="B292" s="11"/>
      <c r="C292" s="11"/>
      <c r="D292" s="11"/>
      <c r="E292" s="11"/>
      <c r="F292" s="11"/>
      <c r="G292" s="11"/>
      <c r="H292" s="11"/>
      <c r="I292" s="11"/>
      <c r="J292" s="11"/>
    </row>
    <row r="293" spans="1:13" s="1" customFormat="1" ht="48" customHeight="1" x14ac:dyDescent="0.2">
      <c r="A293" s="21"/>
      <c r="B293" s="22" t="s">
        <v>173</v>
      </c>
      <c r="C293" s="22"/>
      <c r="D293" s="23" t="s">
        <v>312</v>
      </c>
      <c r="E293" s="24" t="s">
        <v>313</v>
      </c>
      <c r="F293" s="26">
        <v>12.6</v>
      </c>
      <c r="G293" s="25">
        <v>8</v>
      </c>
      <c r="H293" s="25">
        <v>100</v>
      </c>
      <c r="I293" s="24" t="s">
        <v>25</v>
      </c>
      <c r="J293" s="14">
        <f>49.78 * IF(K293 = 980, 1, IF(K293 = 840,IF($L$3&gt;0,$L$3,1),IF(K293=982,IF($N$3&gt;0,$N$3,1))))</f>
        <v>49.78</v>
      </c>
      <c r="K293" s="13">
        <v>982</v>
      </c>
      <c r="L293" s="14">
        <f>59.74 * IF(M293 = 980, 1, IF(M293 = 840,IF($L$3&gt;0,$L$3,1),IF(M293=982,IF($N$3&gt;0,$N$3,1))))</f>
        <v>59.74</v>
      </c>
      <c r="M293" s="13">
        <v>982</v>
      </c>
    </row>
    <row r="294" spans="1:13" s="1" customFormat="1" ht="48" customHeight="1" x14ac:dyDescent="0.2">
      <c r="A294" s="21"/>
      <c r="B294" s="22"/>
      <c r="C294" s="22"/>
      <c r="D294" s="23"/>
      <c r="E294" s="24"/>
      <c r="F294" s="26"/>
      <c r="G294" s="25"/>
      <c r="H294" s="25"/>
      <c r="I294" s="24"/>
      <c r="J294" s="15" t="str">
        <f xml:space="preserve"> IF(K293 = 980, K294,IF(K293 = 840,IF($L$3&gt;0,"грн",K294),IF(K293=982,IF($N$3&gt;0,"грн",K294))))</f>
        <v>EUR</v>
      </c>
      <c r="K294" s="16" t="s">
        <v>176</v>
      </c>
      <c r="L294" s="15" t="str">
        <f xml:space="preserve"> IF(M293 = 980, M294,IF(M293 = 840,IF($L$3&gt;0,"грн",M294),IF(M293=982,IF($N$3&gt;0,"грн",M294))))</f>
        <v>EUR</v>
      </c>
      <c r="M294" s="16" t="s">
        <v>176</v>
      </c>
    </row>
    <row r="295" spans="1:13" s="1" customFormat="1" ht="48" customHeight="1" x14ac:dyDescent="0.2">
      <c r="A295" s="21"/>
      <c r="B295" s="22" t="s">
        <v>173</v>
      </c>
      <c r="C295" s="22"/>
      <c r="D295" s="23" t="s">
        <v>314</v>
      </c>
      <c r="E295" s="24" t="s">
        <v>315</v>
      </c>
      <c r="F295" s="26">
        <v>7.5</v>
      </c>
      <c r="G295" s="25">
        <v>10</v>
      </c>
      <c r="H295" s="25">
        <v>50</v>
      </c>
      <c r="I295" s="24" t="s">
        <v>25</v>
      </c>
      <c r="J295" s="12">
        <f>29.417 * IF(K295 = 980, 1, IF(K295 = 840,IF($L$3&gt;0,$L$3,1),IF(K295=982,IF($N$3&gt;0,$N$3,1))))</f>
        <v>29.417000000000002</v>
      </c>
      <c r="K295" s="13">
        <v>982</v>
      </c>
      <c r="L295" s="17">
        <f>35.3 * IF(M295 = 980, 1, IF(M295 = 840,IF($L$3&gt;0,$L$3,1),IF(M295=982,IF($N$3&gt;0,$N$3,1))))</f>
        <v>35.299999999999997</v>
      </c>
      <c r="M295" s="13">
        <v>982</v>
      </c>
    </row>
    <row r="296" spans="1:13" s="1" customFormat="1" ht="48" customHeight="1" x14ac:dyDescent="0.2">
      <c r="A296" s="21"/>
      <c r="B296" s="22"/>
      <c r="C296" s="22"/>
      <c r="D296" s="23"/>
      <c r="E296" s="24"/>
      <c r="F296" s="26"/>
      <c r="G296" s="25"/>
      <c r="H296" s="25"/>
      <c r="I296" s="24"/>
      <c r="J296" s="15" t="str">
        <f xml:space="preserve"> IF(K295 = 980, K296,IF(K295 = 840,IF($L$3&gt;0,"грн",K296),IF(K295=982,IF($N$3&gt;0,"грн",K296))))</f>
        <v>EUR</v>
      </c>
      <c r="K296" s="16" t="s">
        <v>176</v>
      </c>
      <c r="L296" s="15" t="str">
        <f xml:space="preserve"> IF(M295 = 980, M296,IF(M295 = 840,IF($L$3&gt;0,"грн",M296),IF(M295=982,IF($N$3&gt;0,"грн",M296))))</f>
        <v>EUR</v>
      </c>
      <c r="M296" s="16" t="s">
        <v>176</v>
      </c>
    </row>
    <row r="297" spans="1:13" s="1" customFormat="1" ht="48" customHeight="1" x14ac:dyDescent="0.2">
      <c r="A297" s="21"/>
      <c r="B297" s="22" t="s">
        <v>173</v>
      </c>
      <c r="C297" s="22"/>
      <c r="D297" s="23" t="s">
        <v>316</v>
      </c>
      <c r="E297" s="24" t="s">
        <v>317</v>
      </c>
      <c r="F297" s="27">
        <v>8.75</v>
      </c>
      <c r="G297" s="25">
        <v>12</v>
      </c>
      <c r="H297" s="25">
        <v>50</v>
      </c>
      <c r="I297" s="24" t="s">
        <v>25</v>
      </c>
      <c r="J297" s="12">
        <f>33.979 * IF(K297 = 980, 1, IF(K297 = 840,IF($L$3&gt;0,$L$3,1),IF(K297=982,IF($N$3&gt;0,$N$3,1))))</f>
        <v>33.978999999999999</v>
      </c>
      <c r="K297" s="13">
        <v>982</v>
      </c>
      <c r="L297" s="14">
        <f>40.77 * IF(M297 = 980, 1, IF(M297 = 840,IF($L$3&gt;0,$L$3,1),IF(M297=982,IF($N$3&gt;0,$N$3,1))))</f>
        <v>40.770000000000003</v>
      </c>
      <c r="M297" s="13">
        <v>982</v>
      </c>
    </row>
    <row r="298" spans="1:13" s="1" customFormat="1" ht="48" customHeight="1" x14ac:dyDescent="0.2">
      <c r="A298" s="21"/>
      <c r="B298" s="22"/>
      <c r="C298" s="22"/>
      <c r="D298" s="23"/>
      <c r="E298" s="24"/>
      <c r="F298" s="27"/>
      <c r="G298" s="25"/>
      <c r="H298" s="25"/>
      <c r="I298" s="24"/>
      <c r="J298" s="15" t="str">
        <f xml:space="preserve"> IF(K297 = 980, K298,IF(K297 = 840,IF($L$3&gt;0,"грн",K298),IF(K297=982,IF($N$3&gt;0,"грн",K298))))</f>
        <v>EUR</v>
      </c>
      <c r="K298" s="16" t="s">
        <v>176</v>
      </c>
      <c r="L298" s="15" t="str">
        <f xml:space="preserve"> IF(M297 = 980, M298,IF(M297 = 840,IF($L$3&gt;0,"грн",M298),IF(M297=982,IF($N$3&gt;0,"грн",M298))))</f>
        <v>EUR</v>
      </c>
      <c r="M298" s="16" t="s">
        <v>176</v>
      </c>
    </row>
    <row r="299" spans="1:13" s="1" customFormat="1" ht="48" customHeight="1" x14ac:dyDescent="0.2">
      <c r="A299" s="21"/>
      <c r="B299" s="22" t="s">
        <v>173</v>
      </c>
      <c r="C299" s="22"/>
      <c r="D299" s="23" t="s">
        <v>318</v>
      </c>
      <c r="E299" s="24" t="s">
        <v>319</v>
      </c>
      <c r="F299" s="26">
        <v>10.5</v>
      </c>
      <c r="G299" s="25">
        <v>15</v>
      </c>
      <c r="H299" s="25">
        <v>50</v>
      </c>
      <c r="I299" s="24" t="s">
        <v>25</v>
      </c>
      <c r="J299" s="12">
        <f>40.889 * IF(K299 = 980, 1, IF(K299 = 840,IF($L$3&gt;0,$L$3,1),IF(K299=982,IF($N$3&gt;0,$N$3,1))))</f>
        <v>40.889000000000003</v>
      </c>
      <c r="K299" s="13">
        <v>982</v>
      </c>
      <c r="L299" s="14">
        <f>49.07 * IF(M299 = 980, 1, IF(M299 = 840,IF($L$3&gt;0,$L$3,1),IF(M299=982,IF($N$3&gt;0,$N$3,1))))</f>
        <v>49.07</v>
      </c>
      <c r="M299" s="13">
        <v>982</v>
      </c>
    </row>
    <row r="300" spans="1:13" s="1" customFormat="1" ht="48" customHeight="1" x14ac:dyDescent="0.2">
      <c r="A300" s="21"/>
      <c r="B300" s="22"/>
      <c r="C300" s="22"/>
      <c r="D300" s="23"/>
      <c r="E300" s="24"/>
      <c r="F300" s="26"/>
      <c r="G300" s="25"/>
      <c r="H300" s="25"/>
      <c r="I300" s="24"/>
      <c r="J300" s="15" t="str">
        <f xml:space="preserve"> IF(K299 = 980, K300,IF(K299 = 840,IF($L$3&gt;0,"грн",K300),IF(K299=982,IF($N$3&gt;0,"грн",K300))))</f>
        <v>EUR</v>
      </c>
      <c r="K300" s="16" t="s">
        <v>176</v>
      </c>
      <c r="L300" s="15" t="str">
        <f xml:space="preserve"> IF(M299 = 980, M300,IF(M299 = 840,IF($L$3&gt;0,"грн",M300),IF(M299=982,IF($N$3&gt;0,"грн",M300))))</f>
        <v>EUR</v>
      </c>
      <c r="M300" s="16" t="s">
        <v>176</v>
      </c>
    </row>
    <row r="301" spans="1:13" s="1" customFormat="1" ht="48" customHeight="1" x14ac:dyDescent="0.2">
      <c r="A301" s="21"/>
      <c r="B301" s="22" t="s">
        <v>173</v>
      </c>
      <c r="C301" s="22"/>
      <c r="D301" s="23" t="s">
        <v>320</v>
      </c>
      <c r="E301" s="24" t="s">
        <v>321</v>
      </c>
      <c r="F301" s="27">
        <v>15.25</v>
      </c>
      <c r="G301" s="25">
        <v>19</v>
      </c>
      <c r="H301" s="25">
        <v>50</v>
      </c>
      <c r="I301" s="24" t="s">
        <v>25</v>
      </c>
      <c r="J301" s="12">
        <f>59.658 * IF(K301 = 980, 1, IF(K301 = 840,IF($L$3&gt;0,$L$3,1),IF(K301=982,IF($N$3&gt;0,$N$3,1))))</f>
        <v>59.658000000000001</v>
      </c>
      <c r="K301" s="13">
        <v>982</v>
      </c>
      <c r="L301" s="14">
        <f>71.59 * IF(M301 = 980, 1, IF(M301 = 840,IF($L$3&gt;0,$L$3,1),IF(M301=982,IF($N$3&gt;0,$N$3,1))))</f>
        <v>71.59</v>
      </c>
      <c r="M301" s="13">
        <v>982</v>
      </c>
    </row>
    <row r="302" spans="1:13" s="1" customFormat="1" ht="48" customHeight="1" x14ac:dyDescent="0.2">
      <c r="A302" s="21"/>
      <c r="B302" s="22"/>
      <c r="C302" s="22"/>
      <c r="D302" s="23"/>
      <c r="E302" s="24"/>
      <c r="F302" s="27"/>
      <c r="G302" s="25"/>
      <c r="H302" s="25"/>
      <c r="I302" s="24"/>
      <c r="J302" s="15" t="str">
        <f xml:space="preserve"> IF(K301 = 980, K302,IF(K301 = 840,IF($L$3&gt;0,"грн",K302),IF(K301=982,IF($N$3&gt;0,"грн",K302))))</f>
        <v>EUR</v>
      </c>
      <c r="K302" s="16" t="s">
        <v>176</v>
      </c>
      <c r="L302" s="15" t="str">
        <f xml:space="preserve"> IF(M301 = 980, M302,IF(M301 = 840,IF($L$3&gt;0,"грн",M302),IF(M301=982,IF($N$3&gt;0,"грн",M302))))</f>
        <v>EUR</v>
      </c>
      <c r="M302" s="16" t="s">
        <v>176</v>
      </c>
    </row>
    <row r="303" spans="1:13" ht="16.05" customHeight="1" x14ac:dyDescent="0.3">
      <c r="A303" s="10" t="s">
        <v>322</v>
      </c>
      <c r="B303" s="11"/>
      <c r="C303" s="11"/>
      <c r="D303" s="11"/>
      <c r="E303" s="11"/>
      <c r="F303" s="11"/>
      <c r="G303" s="11"/>
      <c r="H303" s="11"/>
      <c r="I303" s="11"/>
      <c r="J303" s="11"/>
    </row>
    <row r="304" spans="1:13" s="1" customFormat="1" ht="48" customHeight="1" x14ac:dyDescent="0.2">
      <c r="A304" s="21"/>
      <c r="B304" s="22" t="s">
        <v>173</v>
      </c>
      <c r="C304" s="22"/>
      <c r="D304" s="23" t="s">
        <v>323</v>
      </c>
      <c r="E304" s="24" t="s">
        <v>324</v>
      </c>
      <c r="F304" s="27">
        <v>6.75</v>
      </c>
      <c r="G304" s="25">
        <v>19</v>
      </c>
      <c r="H304" s="25">
        <v>25</v>
      </c>
      <c r="I304" s="24" t="s">
        <v>25</v>
      </c>
      <c r="J304" s="12">
        <f>33.375 * IF(K304 = 980, 1, IF(K304 = 840,IF($L$3&gt;0,$L$3,1),IF(K304=982,IF($N$3&gt;0,$N$3,1))))</f>
        <v>33.375</v>
      </c>
      <c r="K304" s="13">
        <v>982</v>
      </c>
      <c r="L304" s="14">
        <f>40.05 * IF(M304 = 980, 1, IF(M304 = 840,IF($L$3&gt;0,$L$3,1),IF(M304=982,IF($N$3&gt;0,$N$3,1))))</f>
        <v>40.049999999999997</v>
      </c>
      <c r="M304" s="13">
        <v>982</v>
      </c>
    </row>
    <row r="305" spans="1:13" s="1" customFormat="1" ht="48" customHeight="1" x14ac:dyDescent="0.2">
      <c r="A305" s="21"/>
      <c r="B305" s="22"/>
      <c r="C305" s="22"/>
      <c r="D305" s="23"/>
      <c r="E305" s="24"/>
      <c r="F305" s="27"/>
      <c r="G305" s="25"/>
      <c r="H305" s="25"/>
      <c r="I305" s="24"/>
      <c r="J305" s="15" t="str">
        <f xml:space="preserve"> IF(K304 = 980, K305,IF(K304 = 840,IF($L$3&gt;0,"грн",K305),IF(K304=982,IF($N$3&gt;0,"грн",K305))))</f>
        <v>EUR</v>
      </c>
      <c r="K305" s="16" t="s">
        <v>176</v>
      </c>
      <c r="L305" s="15" t="str">
        <f xml:space="preserve"> IF(M304 = 980, M305,IF(M304 = 840,IF($L$3&gt;0,"грн",M305),IF(M304=982,IF($N$3&gt;0,"грн",M305))))</f>
        <v>EUR</v>
      </c>
      <c r="M305" s="16" t="s">
        <v>176</v>
      </c>
    </row>
    <row r="306" spans="1:13" s="1" customFormat="1" ht="48" customHeight="1" x14ac:dyDescent="0.2">
      <c r="A306" s="21"/>
      <c r="B306" s="22" t="s">
        <v>173</v>
      </c>
      <c r="C306" s="22"/>
      <c r="D306" s="23" t="s">
        <v>325</v>
      </c>
      <c r="E306" s="24" t="s">
        <v>326</v>
      </c>
      <c r="F306" s="26">
        <v>14.5</v>
      </c>
      <c r="G306" s="25">
        <v>19</v>
      </c>
      <c r="H306" s="25">
        <v>50</v>
      </c>
      <c r="I306" s="24" t="s">
        <v>51</v>
      </c>
      <c r="J306" s="12">
        <f>69.369 * IF(K306 = 980, 1, IF(K306 = 840,IF($L$3&gt;0,$L$3,1),IF(K306=982,IF($N$3&gt;0,$N$3,1))))</f>
        <v>69.369</v>
      </c>
      <c r="K306" s="13">
        <v>982</v>
      </c>
      <c r="L306" s="14">
        <f>83.24 * IF(M306 = 980, 1, IF(M306 = 840,IF($L$3&gt;0,$L$3,1),IF(M306=982,IF($N$3&gt;0,$N$3,1))))</f>
        <v>83.24</v>
      </c>
      <c r="M306" s="13">
        <v>982</v>
      </c>
    </row>
    <row r="307" spans="1:13" s="1" customFormat="1" ht="48" customHeight="1" x14ac:dyDescent="0.2">
      <c r="A307" s="21"/>
      <c r="B307" s="22"/>
      <c r="C307" s="22"/>
      <c r="D307" s="23"/>
      <c r="E307" s="24"/>
      <c r="F307" s="26"/>
      <c r="G307" s="25"/>
      <c r="H307" s="25"/>
      <c r="I307" s="24"/>
      <c r="J307" s="15" t="str">
        <f xml:space="preserve"> IF(K306 = 980, K307,IF(K306 = 840,IF($L$3&gt;0,"грн",K307),IF(K306=982,IF($N$3&gt;0,"грн",K307))))</f>
        <v>EUR</v>
      </c>
      <c r="K307" s="16" t="s">
        <v>176</v>
      </c>
      <c r="L307" s="15" t="str">
        <f xml:space="preserve"> IF(M306 = 980, M307,IF(M306 = 840,IF($L$3&gt;0,"грн",M307),IF(M306=982,IF($N$3&gt;0,"грн",M307))))</f>
        <v>EUR</v>
      </c>
      <c r="M307" s="16" t="s">
        <v>176</v>
      </c>
    </row>
    <row r="308" spans="1:13" s="1" customFormat="1" ht="48" customHeight="1" x14ac:dyDescent="0.2">
      <c r="A308" s="21"/>
      <c r="B308" s="22" t="s">
        <v>173</v>
      </c>
      <c r="C308" s="22"/>
      <c r="D308" s="23" t="s">
        <v>327</v>
      </c>
      <c r="E308" s="24" t="s">
        <v>328</v>
      </c>
      <c r="F308" s="27">
        <v>7.25</v>
      </c>
      <c r="G308" s="26">
        <v>12.5</v>
      </c>
      <c r="H308" s="25">
        <v>50</v>
      </c>
      <c r="I308" s="24" t="s">
        <v>25</v>
      </c>
      <c r="J308" s="12">
        <f>31.475 * IF(K308 = 980, 1, IF(K308 = 840,IF($L$3&gt;0,$L$3,1),IF(K308=982,IF($N$3&gt;0,$N$3,1))))</f>
        <v>31.475000000000001</v>
      </c>
      <c r="K308" s="13">
        <v>982</v>
      </c>
      <c r="L308" s="14">
        <f>37.77 * IF(M308 = 980, 1, IF(M308 = 840,IF($L$3&gt;0,$L$3,1),IF(M308=982,IF($N$3&gt;0,$N$3,1))))</f>
        <v>37.770000000000003</v>
      </c>
      <c r="M308" s="13">
        <v>982</v>
      </c>
    </row>
    <row r="309" spans="1:13" s="1" customFormat="1" ht="48" customHeight="1" x14ac:dyDescent="0.2">
      <c r="A309" s="21"/>
      <c r="B309" s="22"/>
      <c r="C309" s="22"/>
      <c r="D309" s="23"/>
      <c r="E309" s="24"/>
      <c r="F309" s="27"/>
      <c r="G309" s="26"/>
      <c r="H309" s="25"/>
      <c r="I309" s="24"/>
      <c r="J309" s="15" t="str">
        <f xml:space="preserve"> IF(K308 = 980, K309,IF(K308 = 840,IF($L$3&gt;0,"грн",K309),IF(K308=982,IF($N$3&gt;0,"грн",K309))))</f>
        <v>EUR</v>
      </c>
      <c r="K309" s="16" t="s">
        <v>176</v>
      </c>
      <c r="L309" s="15" t="str">
        <f xml:space="preserve"> IF(M308 = 980, M309,IF(M308 = 840,IF($L$3&gt;0,"грн",M309),IF(M308=982,IF($N$3&gt;0,"грн",M309))))</f>
        <v>EUR</v>
      </c>
      <c r="M309" s="16" t="s">
        <v>176</v>
      </c>
    </row>
    <row r="310" spans="1:13" ht="16.05" customHeight="1" x14ac:dyDescent="0.3">
      <c r="A310" s="10" t="s">
        <v>329</v>
      </c>
      <c r="B310" s="11"/>
      <c r="C310" s="11"/>
      <c r="D310" s="11"/>
      <c r="E310" s="11"/>
      <c r="F310" s="11"/>
      <c r="G310" s="11"/>
      <c r="H310" s="11"/>
      <c r="I310" s="11"/>
      <c r="J310" s="11"/>
    </row>
    <row r="311" spans="1:13" s="1" customFormat="1" ht="48" customHeight="1" x14ac:dyDescent="0.2">
      <c r="A311" s="21"/>
      <c r="B311" s="22" t="s">
        <v>173</v>
      </c>
      <c r="C311" s="22"/>
      <c r="D311" s="23" t="s">
        <v>330</v>
      </c>
      <c r="E311" s="24" t="s">
        <v>331</v>
      </c>
      <c r="F311" s="26">
        <v>26.2</v>
      </c>
      <c r="G311" s="25">
        <v>18</v>
      </c>
      <c r="H311" s="25">
        <v>100</v>
      </c>
      <c r="I311" s="24" t="s">
        <v>42</v>
      </c>
      <c r="J311" s="12">
        <f>79.645 * IF(K311 = 980, 1, IF(K311 = 840,IF($L$3&gt;0,$L$3,1),IF(K311=982,IF($N$3&gt;0,$N$3,1))))</f>
        <v>79.644999999999996</v>
      </c>
      <c r="K311" s="13">
        <v>982</v>
      </c>
      <c r="L311" s="14">
        <f>95.57 * IF(M311 = 980, 1, IF(M311 = 840,IF($L$3&gt;0,$L$3,1),IF(M311=982,IF($N$3&gt;0,$N$3,1))))</f>
        <v>95.57</v>
      </c>
      <c r="M311" s="13">
        <v>982</v>
      </c>
    </row>
    <row r="312" spans="1:13" s="1" customFormat="1" ht="48" customHeight="1" x14ac:dyDescent="0.2">
      <c r="A312" s="21"/>
      <c r="B312" s="22"/>
      <c r="C312" s="22"/>
      <c r="D312" s="23"/>
      <c r="E312" s="24"/>
      <c r="F312" s="26"/>
      <c r="G312" s="25"/>
      <c r="H312" s="25"/>
      <c r="I312" s="24"/>
      <c r="J312" s="15" t="str">
        <f xml:space="preserve"> IF(K311 = 980, K312,IF(K311 = 840,IF($L$3&gt;0,"грн",K312),IF(K311=982,IF($N$3&gt;0,"грн",K312))))</f>
        <v>EUR</v>
      </c>
      <c r="K312" s="16" t="s">
        <v>176</v>
      </c>
      <c r="L312" s="15" t="str">
        <f xml:space="preserve"> IF(M311 = 980, M312,IF(M311 = 840,IF($L$3&gt;0,"грн",M312),IF(M311=982,IF($N$3&gt;0,"грн",M312))))</f>
        <v>EUR</v>
      </c>
      <c r="M312" s="16" t="s">
        <v>176</v>
      </c>
    </row>
    <row r="313" spans="1:13" s="1" customFormat="1" ht="48" customHeight="1" x14ac:dyDescent="0.2">
      <c r="A313" s="21"/>
      <c r="B313" s="22" t="s">
        <v>332</v>
      </c>
      <c r="C313" s="22"/>
      <c r="D313" s="23" t="s">
        <v>333</v>
      </c>
      <c r="E313" s="24" t="s">
        <v>334</v>
      </c>
      <c r="F313" s="26">
        <v>9.5</v>
      </c>
      <c r="G313" s="25">
        <v>13</v>
      </c>
      <c r="H313" s="25">
        <v>50</v>
      </c>
      <c r="I313" s="24" t="s">
        <v>25</v>
      </c>
      <c r="J313" s="12">
        <f>782.054 * IF(K313 = 980, 1, IF(K313 = 840,IF($L$3&gt;0,$L$3,1),IF(K313=982,IF($N$3&gt;0,$N$3,1))))</f>
        <v>782.05399999999997</v>
      </c>
      <c r="K313" s="13">
        <v>980</v>
      </c>
      <c r="L313" s="14">
        <f>938.46 * IF(M313 = 980, 1, IF(M313 = 840,IF($L$3&gt;0,$L$3,1),IF(M313=982,IF($N$3&gt;0,$N$3,1))))</f>
        <v>938.46</v>
      </c>
      <c r="M313" s="13">
        <v>980</v>
      </c>
    </row>
    <row r="314" spans="1:13" s="1" customFormat="1" ht="48" customHeight="1" x14ac:dyDescent="0.2">
      <c r="A314" s="21"/>
      <c r="B314" s="22"/>
      <c r="C314" s="22"/>
      <c r="D314" s="23"/>
      <c r="E314" s="24"/>
      <c r="F314" s="26"/>
      <c r="G314" s="25"/>
      <c r="H314" s="25"/>
      <c r="I314" s="24"/>
      <c r="J314" s="15" t="str">
        <f xml:space="preserve"> IF(K313 = 980, K314,IF(K313 = 840,IF($L$3&gt;0,"грн",K314),IF(K313=982,IF($N$3&gt;0,"грн",K314))))</f>
        <v>грн</v>
      </c>
      <c r="K314" s="16" t="s">
        <v>335</v>
      </c>
      <c r="L314" s="15" t="str">
        <f xml:space="preserve"> IF(M313 = 980, M314,IF(M313 = 840,IF($L$3&gt;0,"грн",M314),IF(M313=982,IF($N$3&gt;0,"грн",M314))))</f>
        <v>грн</v>
      </c>
      <c r="M314" s="16" t="s">
        <v>335</v>
      </c>
    </row>
    <row r="315" spans="1:13" s="1" customFormat="1" ht="48" customHeight="1" x14ac:dyDescent="0.2">
      <c r="A315" s="21"/>
      <c r="B315" s="22" t="s">
        <v>332</v>
      </c>
      <c r="C315" s="22"/>
      <c r="D315" s="23" t="s">
        <v>336</v>
      </c>
      <c r="E315" s="24" t="s">
        <v>337</v>
      </c>
      <c r="F315" s="26">
        <v>2.4</v>
      </c>
      <c r="G315" s="25">
        <v>4</v>
      </c>
      <c r="H315" s="25">
        <v>200</v>
      </c>
      <c r="I315" s="24" t="s">
        <v>51</v>
      </c>
      <c r="J315" s="12">
        <f>212.322 * IF(K315 = 980, 1, IF(K315 = 840,IF($L$3&gt;0,$L$3,1),IF(K315=982,IF($N$3&gt;0,$N$3,1))))</f>
        <v>212.322</v>
      </c>
      <c r="K315" s="13">
        <v>980</v>
      </c>
      <c r="L315" s="14">
        <f>254.79 * IF(M315 = 980, 1, IF(M315 = 840,IF($L$3&gt;0,$L$3,1),IF(M315=982,IF($N$3&gt;0,$N$3,1))))</f>
        <v>254.79</v>
      </c>
      <c r="M315" s="13">
        <v>980</v>
      </c>
    </row>
    <row r="316" spans="1:13" s="1" customFormat="1" ht="48" customHeight="1" x14ac:dyDescent="0.2">
      <c r="A316" s="21"/>
      <c r="B316" s="22"/>
      <c r="C316" s="22"/>
      <c r="D316" s="23"/>
      <c r="E316" s="24"/>
      <c r="F316" s="26"/>
      <c r="G316" s="25"/>
      <c r="H316" s="25"/>
      <c r="I316" s="24"/>
      <c r="J316" s="15" t="str">
        <f xml:space="preserve"> IF(K315 = 980, K316,IF(K315 = 840,IF($L$3&gt;0,"грн",K316),IF(K315=982,IF($N$3&gt;0,"грн",K316))))</f>
        <v>грн</v>
      </c>
      <c r="K316" s="16" t="s">
        <v>335</v>
      </c>
      <c r="L316" s="15" t="str">
        <f xml:space="preserve"> IF(M315 = 980, M316,IF(M315 = 840,IF($L$3&gt;0,"грн",M316),IF(M315=982,IF($N$3&gt;0,"грн",M316))))</f>
        <v>грн</v>
      </c>
      <c r="M316" s="16" t="s">
        <v>335</v>
      </c>
    </row>
    <row r="317" spans="1:13" s="1" customFormat="1" ht="48" customHeight="1" x14ac:dyDescent="0.2">
      <c r="A317" s="21"/>
      <c r="B317" s="22" t="s">
        <v>332</v>
      </c>
      <c r="C317" s="22"/>
      <c r="D317" s="23" t="s">
        <v>338</v>
      </c>
      <c r="E317" s="24" t="s">
        <v>339</v>
      </c>
      <c r="F317" s="26">
        <v>2.4</v>
      </c>
      <c r="G317" s="25">
        <v>4</v>
      </c>
      <c r="H317" s="25">
        <v>200</v>
      </c>
      <c r="I317" s="24" t="s">
        <v>25</v>
      </c>
      <c r="J317" s="12">
        <f>209.964 * IF(K317 = 980, 1, IF(K317 = 840,IF($L$3&gt;0,$L$3,1),IF(K317=982,IF($N$3&gt;0,$N$3,1))))</f>
        <v>209.964</v>
      </c>
      <c r="K317" s="13">
        <v>980</v>
      </c>
      <c r="L317" s="14">
        <f>251.96 * IF(M317 = 980, 1, IF(M317 = 840,IF($L$3&gt;0,$L$3,1),IF(M317=982,IF($N$3&gt;0,$N$3,1))))</f>
        <v>251.96</v>
      </c>
      <c r="M317" s="13">
        <v>980</v>
      </c>
    </row>
    <row r="318" spans="1:13" s="1" customFormat="1" ht="48" customHeight="1" x14ac:dyDescent="0.2">
      <c r="A318" s="21"/>
      <c r="B318" s="22"/>
      <c r="C318" s="22"/>
      <c r="D318" s="23"/>
      <c r="E318" s="24"/>
      <c r="F318" s="26"/>
      <c r="G318" s="25"/>
      <c r="H318" s="25"/>
      <c r="I318" s="24"/>
      <c r="J318" s="15" t="str">
        <f xml:space="preserve"> IF(K317 = 980, K318,IF(K317 = 840,IF($L$3&gt;0,"грн",K318),IF(K317=982,IF($N$3&gt;0,"грн",K318))))</f>
        <v>грн</v>
      </c>
      <c r="K318" s="16" t="s">
        <v>335</v>
      </c>
      <c r="L318" s="15" t="str">
        <f xml:space="preserve"> IF(M317 = 980, M318,IF(M317 = 840,IF($L$3&gt;0,"грн",M318),IF(M317=982,IF($N$3&gt;0,"грн",M318))))</f>
        <v>грн</v>
      </c>
      <c r="M318" s="16" t="s">
        <v>335</v>
      </c>
    </row>
    <row r="319" spans="1:13" s="1" customFormat="1" ht="48" customHeight="1" x14ac:dyDescent="0.2">
      <c r="A319" s="21"/>
      <c r="B319" s="22" t="s">
        <v>332</v>
      </c>
      <c r="C319" s="22"/>
      <c r="D319" s="23" t="s">
        <v>340</v>
      </c>
      <c r="E319" s="24" t="s">
        <v>341</v>
      </c>
      <c r="F319" s="26">
        <v>2.2999999999999998</v>
      </c>
      <c r="G319" s="25">
        <v>5</v>
      </c>
      <c r="H319" s="25">
        <v>100</v>
      </c>
      <c r="I319" s="24" t="s">
        <v>25</v>
      </c>
      <c r="J319" s="12">
        <f>193.449 * IF(K319 = 980, 1, IF(K319 = 840,IF($L$3&gt;0,$L$3,1),IF(K319=982,IF($N$3&gt;0,$N$3,1))))</f>
        <v>193.44900000000001</v>
      </c>
      <c r="K319" s="13">
        <v>980</v>
      </c>
      <c r="L319" s="14">
        <f>232.14 * IF(M319 = 980, 1, IF(M319 = 840,IF($L$3&gt;0,$L$3,1),IF(M319=982,IF($N$3&gt;0,$N$3,1))))</f>
        <v>232.14</v>
      </c>
      <c r="M319" s="13">
        <v>980</v>
      </c>
    </row>
    <row r="320" spans="1:13" s="1" customFormat="1" ht="48" customHeight="1" x14ac:dyDescent="0.2">
      <c r="A320" s="21"/>
      <c r="B320" s="22"/>
      <c r="C320" s="22"/>
      <c r="D320" s="23"/>
      <c r="E320" s="24"/>
      <c r="F320" s="26"/>
      <c r="G320" s="25"/>
      <c r="H320" s="25"/>
      <c r="I320" s="24"/>
      <c r="J320" s="15" t="str">
        <f xml:space="preserve"> IF(K319 = 980, K320,IF(K319 = 840,IF($L$3&gt;0,"грн",K320),IF(K319=982,IF($N$3&gt;0,"грн",K320))))</f>
        <v>грн</v>
      </c>
      <c r="K320" s="16" t="s">
        <v>335</v>
      </c>
      <c r="L320" s="15" t="str">
        <f xml:space="preserve"> IF(M319 = 980, M320,IF(M319 = 840,IF($L$3&gt;0,"грн",M320),IF(M319=982,IF($N$3&gt;0,"грн",M320))))</f>
        <v>грн</v>
      </c>
      <c r="M320" s="16" t="s">
        <v>335</v>
      </c>
    </row>
    <row r="321" spans="1:13" s="1" customFormat="1" ht="48" customHeight="1" x14ac:dyDescent="0.2">
      <c r="A321" s="21"/>
      <c r="B321" s="22" t="s">
        <v>332</v>
      </c>
      <c r="C321" s="22"/>
      <c r="D321" s="23" t="s">
        <v>342</v>
      </c>
      <c r="E321" s="24" t="s">
        <v>343</v>
      </c>
      <c r="F321" s="26">
        <v>2.8</v>
      </c>
      <c r="G321" s="25">
        <v>6</v>
      </c>
      <c r="H321" s="25">
        <v>100</v>
      </c>
      <c r="I321" s="24" t="s">
        <v>25</v>
      </c>
      <c r="J321" s="12">
        <f>228.836 * IF(K321 = 980, 1, IF(K321 = 840,IF($L$3&gt;0,$L$3,1),IF(K321=982,IF($N$3&gt;0,$N$3,1))))</f>
        <v>228.83600000000001</v>
      </c>
      <c r="K321" s="13">
        <v>980</v>
      </c>
      <c r="L321" s="17">
        <f>274.6 * IF(M321 = 980, 1, IF(M321 = 840,IF($L$3&gt;0,$L$3,1),IF(M321=982,IF($N$3&gt;0,$N$3,1))))</f>
        <v>274.60000000000002</v>
      </c>
      <c r="M321" s="13">
        <v>980</v>
      </c>
    </row>
    <row r="322" spans="1:13" s="1" customFormat="1" ht="48" customHeight="1" x14ac:dyDescent="0.2">
      <c r="A322" s="21"/>
      <c r="B322" s="22"/>
      <c r="C322" s="22"/>
      <c r="D322" s="23"/>
      <c r="E322" s="24"/>
      <c r="F322" s="26"/>
      <c r="G322" s="25"/>
      <c r="H322" s="25"/>
      <c r="I322" s="24"/>
      <c r="J322" s="15" t="str">
        <f xml:space="preserve"> IF(K321 = 980, K322,IF(K321 = 840,IF($L$3&gt;0,"грн",K322),IF(K321=982,IF($N$3&gt;0,"грн",K322))))</f>
        <v>грн</v>
      </c>
      <c r="K322" s="16" t="s">
        <v>335</v>
      </c>
      <c r="L322" s="15" t="str">
        <f xml:space="preserve"> IF(M321 = 980, M322,IF(M321 = 840,IF($L$3&gt;0,"грн",M322),IF(M321=982,IF($N$3&gt;0,"грн",M322))))</f>
        <v>грн</v>
      </c>
      <c r="M322" s="16" t="s">
        <v>335</v>
      </c>
    </row>
    <row r="323" spans="1:13" s="1" customFormat="1" ht="48" customHeight="1" x14ac:dyDescent="0.2">
      <c r="A323" s="21"/>
      <c r="B323" s="22" t="s">
        <v>332</v>
      </c>
      <c r="C323" s="22"/>
      <c r="D323" s="23" t="s">
        <v>344</v>
      </c>
      <c r="E323" s="24" t="s">
        <v>345</v>
      </c>
      <c r="F323" s="26">
        <v>3.2</v>
      </c>
      <c r="G323" s="25">
        <v>7</v>
      </c>
      <c r="H323" s="25">
        <v>100</v>
      </c>
      <c r="I323" s="24" t="s">
        <v>25</v>
      </c>
      <c r="J323" s="12">
        <f>264.223 * IF(K323 = 980, 1, IF(K323 = 840,IF($L$3&gt;0,$L$3,1),IF(K323=982,IF($N$3&gt;0,$N$3,1))))</f>
        <v>264.22300000000001</v>
      </c>
      <c r="K323" s="13">
        <v>980</v>
      </c>
      <c r="L323" s="14">
        <f>317.07 * IF(M323 = 980, 1, IF(M323 = 840,IF($L$3&gt;0,$L$3,1),IF(M323=982,IF($N$3&gt;0,$N$3,1))))</f>
        <v>317.07</v>
      </c>
      <c r="M323" s="13">
        <v>980</v>
      </c>
    </row>
    <row r="324" spans="1:13" s="1" customFormat="1" ht="48" customHeight="1" x14ac:dyDescent="0.2">
      <c r="A324" s="21"/>
      <c r="B324" s="22"/>
      <c r="C324" s="22"/>
      <c r="D324" s="23"/>
      <c r="E324" s="24"/>
      <c r="F324" s="26"/>
      <c r="G324" s="25"/>
      <c r="H324" s="25"/>
      <c r="I324" s="24"/>
      <c r="J324" s="15" t="str">
        <f xml:space="preserve"> IF(K323 = 980, K324,IF(K323 = 840,IF($L$3&gt;0,"грн",K324),IF(K323=982,IF($N$3&gt;0,"грн",K324))))</f>
        <v>грн</v>
      </c>
      <c r="K324" s="16" t="s">
        <v>335</v>
      </c>
      <c r="L324" s="15" t="str">
        <f xml:space="preserve"> IF(M323 = 980, M324,IF(M323 = 840,IF($L$3&gt;0,"грн",M324),IF(M323=982,IF($N$3&gt;0,"грн",M324))))</f>
        <v>грн</v>
      </c>
      <c r="M324" s="16" t="s">
        <v>335</v>
      </c>
    </row>
    <row r="325" spans="1:13" s="1" customFormat="1" ht="48" customHeight="1" x14ac:dyDescent="0.2">
      <c r="A325" s="28"/>
      <c r="B325" s="29" t="s">
        <v>29</v>
      </c>
      <c r="C325" s="30" t="s">
        <v>332</v>
      </c>
      <c r="D325" s="31" t="s">
        <v>346</v>
      </c>
      <c r="E325" s="32" t="s">
        <v>347</v>
      </c>
      <c r="F325" s="33">
        <v>3.5</v>
      </c>
      <c r="G325" s="34">
        <v>8</v>
      </c>
      <c r="H325" s="34">
        <v>100</v>
      </c>
      <c r="I325" s="32" t="s">
        <v>25</v>
      </c>
      <c r="J325" s="12">
        <f>290.981 * IF(K325 = 980, 1, IF(K325 = 840,IF($L$3&gt;0,$L$3,1),IF(K325=982,IF($N$3&gt;0,$N$3,1))))</f>
        <v>290.98099999999999</v>
      </c>
      <c r="K325" s="13">
        <v>980</v>
      </c>
      <c r="L325" s="14">
        <f>349.18 * IF(M325 = 980, 1, IF(M325 = 840,IF($L$3&gt;0,$L$3,1),IF(M325=982,IF($N$3&gt;0,$N$3,1))))</f>
        <v>349.18</v>
      </c>
      <c r="M325" s="13">
        <v>980</v>
      </c>
    </row>
    <row r="326" spans="1:13" s="1" customFormat="1" ht="48" customHeight="1" x14ac:dyDescent="0.2">
      <c r="A326" s="28"/>
      <c r="B326" s="29"/>
      <c r="C326" s="30"/>
      <c r="D326" s="31"/>
      <c r="E326" s="32"/>
      <c r="F326" s="33"/>
      <c r="G326" s="34"/>
      <c r="H326" s="34"/>
      <c r="I326" s="32"/>
      <c r="J326" s="15" t="str">
        <f xml:space="preserve"> IF(K325 = 980, K326,IF(K325 = 840,IF($L$3&gt;0,"грн",K326),IF(K325=982,IF($N$3&gt;0,"грн",K326))))</f>
        <v>грн</v>
      </c>
      <c r="K326" s="16" t="s">
        <v>335</v>
      </c>
      <c r="L326" s="15" t="str">
        <f xml:space="preserve"> IF(M325 = 980, M326,IF(M325 = 840,IF($L$3&gt;0,"грн",M326),IF(M325=982,IF($N$3&gt;0,"грн",M326))))</f>
        <v>грн</v>
      </c>
      <c r="M326" s="16" t="s">
        <v>335</v>
      </c>
    </row>
    <row r="327" spans="1:13" s="1" customFormat="1" ht="48" customHeight="1" x14ac:dyDescent="0.2">
      <c r="A327" s="21"/>
      <c r="B327" s="22" t="s">
        <v>332</v>
      </c>
      <c r="C327" s="22"/>
      <c r="D327" s="23" t="s">
        <v>348</v>
      </c>
      <c r="E327" s="24" t="s">
        <v>349</v>
      </c>
      <c r="F327" s="26">
        <v>3.7</v>
      </c>
      <c r="G327" s="25">
        <v>8</v>
      </c>
      <c r="H327" s="25">
        <v>100</v>
      </c>
      <c r="I327" s="24" t="s">
        <v>25</v>
      </c>
      <c r="J327" s="12">
        <f>290.174 * IF(K327 = 980, 1, IF(K327 = 840,IF($L$3&gt;0,$L$3,1),IF(K327=982,IF($N$3&gt;0,$N$3,1))))</f>
        <v>290.17399999999998</v>
      </c>
      <c r="K327" s="13">
        <v>980</v>
      </c>
      <c r="L327" s="14">
        <f>348.21 * IF(M327 = 980, 1, IF(M327 = 840,IF($L$3&gt;0,$L$3,1),IF(M327=982,IF($N$3&gt;0,$N$3,1))))</f>
        <v>348.21</v>
      </c>
      <c r="M327" s="13">
        <v>980</v>
      </c>
    </row>
    <row r="328" spans="1:13" s="1" customFormat="1" ht="48" customHeight="1" x14ac:dyDescent="0.2">
      <c r="A328" s="21"/>
      <c r="B328" s="22"/>
      <c r="C328" s="22"/>
      <c r="D328" s="23"/>
      <c r="E328" s="24"/>
      <c r="F328" s="26"/>
      <c r="G328" s="25"/>
      <c r="H328" s="25"/>
      <c r="I328" s="24"/>
      <c r="J328" s="15" t="str">
        <f xml:space="preserve"> IF(K327 = 980, K328,IF(K327 = 840,IF($L$3&gt;0,"грн",K328),IF(K327=982,IF($N$3&gt;0,"грн",K328))))</f>
        <v>грн</v>
      </c>
      <c r="K328" s="16" t="s">
        <v>335</v>
      </c>
      <c r="L328" s="15" t="str">
        <f xml:space="preserve"> IF(M327 = 980, M328,IF(M327 = 840,IF($L$3&gt;0,"грн",M328),IF(M327=982,IF($N$3&gt;0,"грн",M328))))</f>
        <v>грн</v>
      </c>
      <c r="M328" s="16" t="s">
        <v>335</v>
      </c>
    </row>
    <row r="329" spans="1:13" s="1" customFormat="1" ht="48" customHeight="1" x14ac:dyDescent="0.2">
      <c r="A329" s="21"/>
      <c r="B329" s="22" t="s">
        <v>332</v>
      </c>
      <c r="C329" s="22"/>
      <c r="D329" s="23" t="s">
        <v>350</v>
      </c>
      <c r="E329" s="24" t="s">
        <v>351</v>
      </c>
      <c r="F329" s="25">
        <v>6</v>
      </c>
      <c r="G329" s="25">
        <v>10</v>
      </c>
      <c r="H329" s="25">
        <v>100</v>
      </c>
      <c r="I329" s="24" t="s">
        <v>25</v>
      </c>
      <c r="J329" s="12">
        <f>495.419 * IF(K329 = 980, 1, IF(K329 = 840,IF($L$3&gt;0,$L$3,1),IF(K329=982,IF($N$3&gt;0,$N$3,1))))</f>
        <v>495.41899999999998</v>
      </c>
      <c r="K329" s="13">
        <v>980</v>
      </c>
      <c r="L329" s="17">
        <f>594.5 * IF(M329 = 980, 1, IF(M329 = 840,IF($L$3&gt;0,$L$3,1),IF(M329=982,IF($N$3&gt;0,$N$3,1))))</f>
        <v>594.5</v>
      </c>
      <c r="M329" s="13">
        <v>980</v>
      </c>
    </row>
    <row r="330" spans="1:13" s="1" customFormat="1" ht="48" customHeight="1" x14ac:dyDescent="0.2">
      <c r="A330" s="21"/>
      <c r="B330" s="22"/>
      <c r="C330" s="22"/>
      <c r="D330" s="23"/>
      <c r="E330" s="24"/>
      <c r="F330" s="25"/>
      <c r="G330" s="25"/>
      <c r="H330" s="25"/>
      <c r="I330" s="24"/>
      <c r="J330" s="15" t="str">
        <f xml:space="preserve"> IF(K329 = 980, K330,IF(K329 = 840,IF($L$3&gt;0,"грн",K330),IF(K329=982,IF($N$3&gt;0,"грн",K330))))</f>
        <v>грн</v>
      </c>
      <c r="K330" s="16" t="s">
        <v>335</v>
      </c>
      <c r="L330" s="15" t="str">
        <f xml:space="preserve"> IF(M329 = 980, M330,IF(M329 = 840,IF($L$3&gt;0,"грн",M330),IF(M329=982,IF($N$3&gt;0,"грн",M330))))</f>
        <v>грн</v>
      </c>
      <c r="M330" s="16" t="s">
        <v>335</v>
      </c>
    </row>
    <row r="331" spans="1:13" s="1" customFormat="1" ht="48" customHeight="1" x14ac:dyDescent="0.2">
      <c r="A331" s="21"/>
      <c r="B331" s="22" t="s">
        <v>332</v>
      </c>
      <c r="C331" s="22"/>
      <c r="D331" s="23" t="s">
        <v>352</v>
      </c>
      <c r="E331" s="24" t="s">
        <v>353</v>
      </c>
      <c r="F331" s="26">
        <v>7.9</v>
      </c>
      <c r="G331" s="25">
        <v>12</v>
      </c>
      <c r="H331" s="25">
        <v>100</v>
      </c>
      <c r="I331" s="24" t="s">
        <v>25</v>
      </c>
      <c r="J331" s="12">
        <f>659.379 * IF(K331 = 980, 1, IF(K331 = 840,IF($L$3&gt;0,$L$3,1),IF(K331=982,IF($N$3&gt;0,$N$3,1))))</f>
        <v>659.37900000000002</v>
      </c>
      <c r="K331" s="13">
        <v>980</v>
      </c>
      <c r="L331" s="14">
        <f>791.25 * IF(M331 = 980, 1, IF(M331 = 840,IF($L$3&gt;0,$L$3,1),IF(M331=982,IF($N$3&gt;0,$N$3,1))))</f>
        <v>791.25</v>
      </c>
      <c r="M331" s="13">
        <v>980</v>
      </c>
    </row>
    <row r="332" spans="1:13" s="1" customFormat="1" ht="48" customHeight="1" x14ac:dyDescent="0.2">
      <c r="A332" s="21"/>
      <c r="B332" s="22"/>
      <c r="C332" s="22"/>
      <c r="D332" s="23"/>
      <c r="E332" s="24"/>
      <c r="F332" s="26"/>
      <c r="G332" s="25"/>
      <c r="H332" s="25"/>
      <c r="I332" s="24"/>
      <c r="J332" s="15" t="str">
        <f xml:space="preserve"> IF(K331 = 980, K332,IF(K331 = 840,IF($L$3&gt;0,"грн",K332),IF(K331=982,IF($N$3&gt;0,"грн",K332))))</f>
        <v>грн</v>
      </c>
      <c r="K332" s="16" t="s">
        <v>335</v>
      </c>
      <c r="L332" s="15" t="str">
        <f xml:space="preserve"> IF(M331 = 980, M332,IF(M331 = 840,IF($L$3&gt;0,"грн",M332),IF(M331=982,IF($N$3&gt;0,"грн",M332))))</f>
        <v>грн</v>
      </c>
      <c r="M332" s="16" t="s">
        <v>335</v>
      </c>
    </row>
    <row r="333" spans="1:13" s="1" customFormat="1" ht="48" customHeight="1" x14ac:dyDescent="0.2">
      <c r="A333" s="21"/>
      <c r="B333" s="22" t="s">
        <v>332</v>
      </c>
      <c r="C333" s="22"/>
      <c r="D333" s="23" t="s">
        <v>354</v>
      </c>
      <c r="E333" s="24" t="s">
        <v>355</v>
      </c>
      <c r="F333" s="26">
        <v>4.8</v>
      </c>
      <c r="G333" s="25">
        <v>14</v>
      </c>
      <c r="H333" s="25">
        <v>50</v>
      </c>
      <c r="I333" s="24" t="s">
        <v>25</v>
      </c>
      <c r="J333" s="12">
        <f>378.051 * IF(K333 = 980, 1, IF(K333 = 840,IF($L$3&gt;0,$L$3,1),IF(K333=982,IF($N$3&gt;0,$N$3,1))))</f>
        <v>378.05099999999999</v>
      </c>
      <c r="K333" s="13">
        <v>980</v>
      </c>
      <c r="L333" s="14">
        <f>453.66 * IF(M333 = 980, 1, IF(M333 = 840,IF($L$3&gt;0,$L$3,1),IF(M333=982,IF($N$3&gt;0,$N$3,1))))</f>
        <v>453.66</v>
      </c>
      <c r="M333" s="13">
        <v>980</v>
      </c>
    </row>
    <row r="334" spans="1:13" s="1" customFormat="1" ht="48" customHeight="1" x14ac:dyDescent="0.2">
      <c r="A334" s="21"/>
      <c r="B334" s="22"/>
      <c r="C334" s="22"/>
      <c r="D334" s="23"/>
      <c r="E334" s="24"/>
      <c r="F334" s="26"/>
      <c r="G334" s="25"/>
      <c r="H334" s="25"/>
      <c r="I334" s="24"/>
      <c r="J334" s="15" t="str">
        <f xml:space="preserve"> IF(K333 = 980, K334,IF(K333 = 840,IF($L$3&gt;0,"грн",K334),IF(K333=982,IF($N$3&gt;0,"грн",K334))))</f>
        <v>грн</v>
      </c>
      <c r="K334" s="16" t="s">
        <v>335</v>
      </c>
      <c r="L334" s="15" t="str">
        <f xml:space="preserve"> IF(M333 = 980, M334,IF(M333 = 840,IF($L$3&gt;0,"грн",M334),IF(M333=982,IF($N$3&gt;0,"грн",M334))))</f>
        <v>грн</v>
      </c>
      <c r="M334" s="16" t="s">
        <v>335</v>
      </c>
    </row>
    <row r="335" spans="1:13" s="1" customFormat="1" ht="48" customHeight="1" x14ac:dyDescent="0.2">
      <c r="A335" s="21"/>
      <c r="B335" s="22" t="s">
        <v>332</v>
      </c>
      <c r="C335" s="22"/>
      <c r="D335" s="23" t="s">
        <v>356</v>
      </c>
      <c r="E335" s="24" t="s">
        <v>357</v>
      </c>
      <c r="F335" s="26">
        <v>6.7</v>
      </c>
      <c r="G335" s="25">
        <v>16</v>
      </c>
      <c r="H335" s="25">
        <v>50</v>
      </c>
      <c r="I335" s="24" t="s">
        <v>25</v>
      </c>
      <c r="J335" s="12">
        <f>589.194 * IF(K335 = 980, 1, IF(K335 = 840,IF($L$3&gt;0,$L$3,1),IF(K335=982,IF($N$3&gt;0,$N$3,1))))</f>
        <v>589.19399999999996</v>
      </c>
      <c r="K335" s="13">
        <v>980</v>
      </c>
      <c r="L335" s="14">
        <f>707.03 * IF(M335 = 980, 1, IF(M335 = 840,IF($L$3&gt;0,$L$3,1),IF(M335=982,IF($N$3&gt;0,$N$3,1))))</f>
        <v>707.03</v>
      </c>
      <c r="M335" s="13">
        <v>980</v>
      </c>
    </row>
    <row r="336" spans="1:13" s="1" customFormat="1" ht="48" customHeight="1" x14ac:dyDescent="0.2">
      <c r="A336" s="21"/>
      <c r="B336" s="22"/>
      <c r="C336" s="22"/>
      <c r="D336" s="23"/>
      <c r="E336" s="24"/>
      <c r="F336" s="26"/>
      <c r="G336" s="25"/>
      <c r="H336" s="25"/>
      <c r="I336" s="24"/>
      <c r="J336" s="15" t="str">
        <f xml:space="preserve"> IF(K335 = 980, K336,IF(K335 = 840,IF($L$3&gt;0,"грн",K336),IF(K335=982,IF($N$3&gt;0,"грн",K336))))</f>
        <v>грн</v>
      </c>
      <c r="K336" s="16" t="s">
        <v>335</v>
      </c>
      <c r="L336" s="15" t="str">
        <f xml:space="preserve"> IF(M335 = 980, M336,IF(M335 = 840,IF($L$3&gt;0,"грн",M336),IF(M335=982,IF($N$3&gt;0,"грн",M336))))</f>
        <v>грн</v>
      </c>
      <c r="M336" s="16" t="s">
        <v>335</v>
      </c>
    </row>
    <row r="337" spans="1:13" s="1" customFormat="1" ht="48" customHeight="1" x14ac:dyDescent="0.2">
      <c r="A337" s="21"/>
      <c r="B337" s="22" t="s">
        <v>332</v>
      </c>
      <c r="C337" s="22"/>
      <c r="D337" s="23" t="s">
        <v>358</v>
      </c>
      <c r="E337" s="24" t="s">
        <v>359</v>
      </c>
      <c r="F337" s="26">
        <v>7.8</v>
      </c>
      <c r="G337" s="25">
        <v>18</v>
      </c>
      <c r="H337" s="25">
        <v>50</v>
      </c>
      <c r="I337" s="24" t="s">
        <v>25</v>
      </c>
      <c r="J337" s="12">
        <f>650.531 * IF(K337 = 980, 1, IF(K337 = 840,IF($L$3&gt;0,$L$3,1),IF(K337=982,IF($N$3&gt;0,$N$3,1))))</f>
        <v>650.53099999999995</v>
      </c>
      <c r="K337" s="13">
        <v>980</v>
      </c>
      <c r="L337" s="14">
        <f>780.64 * IF(M337 = 980, 1, IF(M337 = 840,IF($L$3&gt;0,$L$3,1),IF(M337=982,IF($N$3&gt;0,$N$3,1))))</f>
        <v>780.64</v>
      </c>
      <c r="M337" s="13">
        <v>980</v>
      </c>
    </row>
    <row r="338" spans="1:13" s="1" customFormat="1" ht="48" customHeight="1" x14ac:dyDescent="0.2">
      <c r="A338" s="21"/>
      <c r="B338" s="22"/>
      <c r="C338" s="22"/>
      <c r="D338" s="23"/>
      <c r="E338" s="24"/>
      <c r="F338" s="26"/>
      <c r="G338" s="25"/>
      <c r="H338" s="25"/>
      <c r="I338" s="24"/>
      <c r="J338" s="15" t="str">
        <f xml:space="preserve"> IF(K337 = 980, K338,IF(K337 = 840,IF($L$3&gt;0,"грн",K338),IF(K337=982,IF($N$3&gt;0,"грн",K338))))</f>
        <v>грн</v>
      </c>
      <c r="K338" s="16" t="s">
        <v>335</v>
      </c>
      <c r="L338" s="15" t="str">
        <f xml:space="preserve"> IF(M337 = 980, M338,IF(M337 = 840,IF($L$3&gt;0,"грн",M338),IF(M337=982,IF($N$3&gt;0,"грн",M338))))</f>
        <v>грн</v>
      </c>
      <c r="M338" s="16" t="s">
        <v>335</v>
      </c>
    </row>
    <row r="339" spans="1:13" s="1" customFormat="1" ht="48" customHeight="1" x14ac:dyDescent="0.2">
      <c r="A339" s="21"/>
      <c r="B339" s="22" t="s">
        <v>332</v>
      </c>
      <c r="C339" s="22"/>
      <c r="D339" s="23" t="s">
        <v>360</v>
      </c>
      <c r="E339" s="24" t="s">
        <v>361</v>
      </c>
      <c r="F339" s="26">
        <v>9.4</v>
      </c>
      <c r="G339" s="25">
        <v>20</v>
      </c>
      <c r="H339" s="25">
        <v>50</v>
      </c>
      <c r="I339" s="24" t="s">
        <v>25</v>
      </c>
      <c r="J339" s="12">
        <f>747.257 * IF(K339 = 980, 1, IF(K339 = 840,IF($L$3&gt;0,$L$3,1),IF(K339=982,IF($N$3&gt;0,$N$3,1))))</f>
        <v>747.25699999999995</v>
      </c>
      <c r="K339" s="13">
        <v>980</v>
      </c>
      <c r="L339" s="14">
        <f>896.71 * IF(M339 = 980, 1, IF(M339 = 840,IF($L$3&gt;0,$L$3,1),IF(M339=982,IF($N$3&gt;0,$N$3,1))))</f>
        <v>896.71</v>
      </c>
      <c r="M339" s="13">
        <v>980</v>
      </c>
    </row>
    <row r="340" spans="1:13" s="1" customFormat="1" ht="48" customHeight="1" x14ac:dyDescent="0.2">
      <c r="A340" s="21"/>
      <c r="B340" s="22"/>
      <c r="C340" s="22"/>
      <c r="D340" s="23"/>
      <c r="E340" s="24"/>
      <c r="F340" s="26"/>
      <c r="G340" s="25"/>
      <c r="H340" s="25"/>
      <c r="I340" s="24"/>
      <c r="J340" s="15" t="str">
        <f xml:space="preserve"> IF(K339 = 980, K340,IF(K339 = 840,IF($L$3&gt;0,"грн",K340),IF(K339=982,IF($N$3&gt;0,"грн",K340))))</f>
        <v>грн</v>
      </c>
      <c r="K340" s="16" t="s">
        <v>335</v>
      </c>
      <c r="L340" s="15" t="str">
        <f xml:space="preserve"> IF(M339 = 980, M340,IF(M339 = 840,IF($L$3&gt;0,"грн",M340),IF(M339=982,IF($N$3&gt;0,"грн",M340))))</f>
        <v>грн</v>
      </c>
      <c r="M340" s="16" t="s">
        <v>335</v>
      </c>
    </row>
    <row r="341" spans="1:13" s="1" customFormat="1" ht="48" customHeight="1" x14ac:dyDescent="0.2">
      <c r="A341" s="21"/>
      <c r="B341" s="22" t="s">
        <v>332</v>
      </c>
      <c r="C341" s="22"/>
      <c r="D341" s="23" t="s">
        <v>362</v>
      </c>
      <c r="E341" s="24" t="s">
        <v>363</v>
      </c>
      <c r="F341" s="26">
        <v>11.9</v>
      </c>
      <c r="G341" s="25">
        <v>22</v>
      </c>
      <c r="H341" s="25">
        <v>50</v>
      </c>
      <c r="I341" s="24" t="s">
        <v>25</v>
      </c>
      <c r="J341" s="12">
        <f>993.196 * IF(K341 = 980, 1, IF(K341 = 840,IF($L$3&gt;0,$L$3,1),IF(K341=982,IF($N$3&gt;0,$N$3,1))))</f>
        <v>993.19600000000003</v>
      </c>
      <c r="K341" s="13">
        <v>980</v>
      </c>
      <c r="L341" s="19">
        <f>1191.84 * IF(M341 = 980, 1, IF(M341 = 840,IF($L$3&gt;0,$L$3,1),IF(M341=982,IF($N$3&gt;0,$N$3,1))))</f>
        <v>1191.8399999999999</v>
      </c>
      <c r="M341" s="13">
        <v>980</v>
      </c>
    </row>
    <row r="342" spans="1:13" s="1" customFormat="1" ht="48" customHeight="1" x14ac:dyDescent="0.2">
      <c r="A342" s="21"/>
      <c r="B342" s="22"/>
      <c r="C342" s="22"/>
      <c r="D342" s="23"/>
      <c r="E342" s="24"/>
      <c r="F342" s="26"/>
      <c r="G342" s="25"/>
      <c r="H342" s="25"/>
      <c r="I342" s="24"/>
      <c r="J342" s="15" t="str">
        <f xml:space="preserve"> IF(K341 = 980, K342,IF(K341 = 840,IF($L$3&gt;0,"грн",K342),IF(K341=982,IF($N$3&gt;0,"грн",K342))))</f>
        <v>грн</v>
      </c>
      <c r="K342" s="16" t="s">
        <v>335</v>
      </c>
      <c r="L342" s="15" t="str">
        <f xml:space="preserve"> IF(M341 = 980, M342,IF(M341 = 840,IF($L$3&gt;0,"грн",M342),IF(M341=982,IF($N$3&gt;0,"грн",M342))))</f>
        <v>грн</v>
      </c>
      <c r="M342" s="16" t="s">
        <v>335</v>
      </c>
    </row>
    <row r="343" spans="1:13" s="1" customFormat="1" ht="48" customHeight="1" x14ac:dyDescent="0.2">
      <c r="A343" s="21"/>
      <c r="B343" s="22" t="s">
        <v>332</v>
      </c>
      <c r="C343" s="22"/>
      <c r="D343" s="23" t="s">
        <v>364</v>
      </c>
      <c r="E343" s="24" t="s">
        <v>365</v>
      </c>
      <c r="F343" s="26">
        <v>15.5</v>
      </c>
      <c r="G343" s="25">
        <v>25</v>
      </c>
      <c r="H343" s="25">
        <v>50</v>
      </c>
      <c r="I343" s="24" t="s">
        <v>25</v>
      </c>
      <c r="J343" s="20">
        <f>1353.555 * IF(K343 = 980, 1, IF(K343 = 840,IF($L$3&gt;0,$L$3,1),IF(K343=982,IF($N$3&gt;0,$N$3,1))))</f>
        <v>1353.5550000000001</v>
      </c>
      <c r="K343" s="13">
        <v>980</v>
      </c>
      <c r="L343" s="19">
        <f>1624.27 * IF(M343 = 980, 1, IF(M343 = 840,IF($L$3&gt;0,$L$3,1),IF(M343=982,IF($N$3&gt;0,$N$3,1))))</f>
        <v>1624.27</v>
      </c>
      <c r="M343" s="13">
        <v>980</v>
      </c>
    </row>
    <row r="344" spans="1:13" s="1" customFormat="1" ht="48" customHeight="1" x14ac:dyDescent="0.2">
      <c r="A344" s="21"/>
      <c r="B344" s="22"/>
      <c r="C344" s="22"/>
      <c r="D344" s="23"/>
      <c r="E344" s="24"/>
      <c r="F344" s="26"/>
      <c r="G344" s="25"/>
      <c r="H344" s="25"/>
      <c r="I344" s="24"/>
      <c r="J344" s="15" t="str">
        <f xml:space="preserve"> IF(K343 = 980, K344,IF(K343 = 840,IF($L$3&gt;0,"грн",K344),IF(K343=982,IF($N$3&gt;0,"грн",K344))))</f>
        <v>грн</v>
      </c>
      <c r="K344" s="16" t="s">
        <v>335</v>
      </c>
      <c r="L344" s="15" t="str">
        <f xml:space="preserve"> IF(M343 = 980, M344,IF(M343 = 840,IF($L$3&gt;0,"грн",M344),IF(M343=982,IF($N$3&gt;0,"грн",M344))))</f>
        <v>грн</v>
      </c>
      <c r="M344" s="16" t="s">
        <v>335</v>
      </c>
    </row>
    <row r="345" spans="1:13" ht="16.05" customHeight="1" x14ac:dyDescent="0.3">
      <c r="A345" s="10" t="s">
        <v>366</v>
      </c>
      <c r="B345" s="11"/>
      <c r="C345" s="11"/>
      <c r="D345" s="11"/>
      <c r="E345" s="11"/>
      <c r="F345" s="11"/>
      <c r="G345" s="11"/>
      <c r="H345" s="11"/>
      <c r="I345" s="11"/>
      <c r="J345" s="11"/>
    </row>
    <row r="346" spans="1:13" s="1" customFormat="1" ht="48" customHeight="1" x14ac:dyDescent="0.2">
      <c r="A346" s="21"/>
      <c r="B346" s="22" t="s">
        <v>332</v>
      </c>
      <c r="C346" s="22"/>
      <c r="D346" s="23" t="s">
        <v>367</v>
      </c>
      <c r="E346" s="24" t="s">
        <v>368</v>
      </c>
      <c r="F346" s="26">
        <v>6.3</v>
      </c>
      <c r="G346" s="25">
        <v>8</v>
      </c>
      <c r="H346" s="25">
        <v>50</v>
      </c>
      <c r="I346" s="24" t="s">
        <v>51</v>
      </c>
      <c r="J346" s="12">
        <f>536.114 * IF(K346 = 980, 1, IF(K346 = 840,IF($L$3&gt;0,$L$3,1),IF(K346=982,IF($N$3&gt;0,$N$3,1))))</f>
        <v>536.11400000000003</v>
      </c>
      <c r="K346" s="13">
        <v>980</v>
      </c>
      <c r="L346" s="14">
        <f>643.34 * IF(M346 = 980, 1, IF(M346 = 840,IF($L$3&gt;0,$L$3,1),IF(M346=982,IF($N$3&gt;0,$N$3,1))))</f>
        <v>643.34</v>
      </c>
      <c r="M346" s="13">
        <v>980</v>
      </c>
    </row>
    <row r="347" spans="1:13" s="1" customFormat="1" ht="48" customHeight="1" x14ac:dyDescent="0.2">
      <c r="A347" s="21"/>
      <c r="B347" s="22"/>
      <c r="C347" s="22"/>
      <c r="D347" s="23"/>
      <c r="E347" s="24"/>
      <c r="F347" s="26"/>
      <c r="G347" s="25"/>
      <c r="H347" s="25"/>
      <c r="I347" s="24"/>
      <c r="J347" s="15" t="str">
        <f xml:space="preserve"> IF(K346 = 980, K347,IF(K346 = 840,IF($L$3&gt;0,"грн",K347),IF(K346=982,IF($N$3&gt;0,"грн",K347))))</f>
        <v>грн</v>
      </c>
      <c r="K347" s="16" t="s">
        <v>335</v>
      </c>
      <c r="L347" s="15" t="str">
        <f xml:space="preserve"> IF(M346 = 980, M347,IF(M346 = 840,IF($L$3&gt;0,"грн",M347),IF(M346=982,IF($N$3&gt;0,"грн",M347))))</f>
        <v>грн</v>
      </c>
      <c r="M347" s="16" t="s">
        <v>335</v>
      </c>
    </row>
    <row r="348" spans="1:13" s="1" customFormat="1" ht="48" customHeight="1" x14ac:dyDescent="0.2">
      <c r="A348" s="21"/>
      <c r="B348" s="22" t="s">
        <v>332</v>
      </c>
      <c r="C348" s="22"/>
      <c r="D348" s="23" t="s">
        <v>369</v>
      </c>
      <c r="E348" s="24" t="s">
        <v>370</v>
      </c>
      <c r="F348" s="26">
        <v>12.6</v>
      </c>
      <c r="G348" s="25">
        <v>8</v>
      </c>
      <c r="H348" s="25">
        <v>100</v>
      </c>
      <c r="I348" s="24" t="s">
        <v>51</v>
      </c>
      <c r="J348" s="20">
        <f>1072.228 * IF(K348 = 980, 1, IF(K348 = 840,IF($L$3&gt;0,$L$3,1),IF(K348=982,IF($N$3&gt;0,$N$3,1))))</f>
        <v>1072.2280000000001</v>
      </c>
      <c r="K348" s="13">
        <v>980</v>
      </c>
      <c r="L348" s="19">
        <f>1286.67 * IF(M348 = 980, 1, IF(M348 = 840,IF($L$3&gt;0,$L$3,1),IF(M348=982,IF($N$3&gt;0,$N$3,1))))</f>
        <v>1286.67</v>
      </c>
      <c r="M348" s="13">
        <v>980</v>
      </c>
    </row>
    <row r="349" spans="1:13" s="1" customFormat="1" ht="48" customHeight="1" x14ac:dyDescent="0.2">
      <c r="A349" s="21"/>
      <c r="B349" s="22"/>
      <c r="C349" s="22"/>
      <c r="D349" s="23"/>
      <c r="E349" s="24"/>
      <c r="F349" s="26"/>
      <c r="G349" s="25"/>
      <c r="H349" s="25"/>
      <c r="I349" s="24"/>
      <c r="J349" s="15" t="str">
        <f xml:space="preserve"> IF(K348 = 980, K349,IF(K348 = 840,IF($L$3&gt;0,"грн",K349),IF(K348=982,IF($N$3&gt;0,"грн",K349))))</f>
        <v>грн</v>
      </c>
      <c r="K349" s="16" t="s">
        <v>335</v>
      </c>
      <c r="L349" s="15" t="str">
        <f xml:space="preserve"> IF(M348 = 980, M349,IF(M348 = 840,IF($L$3&gt;0,"грн",M349),IF(M348=982,IF($N$3&gt;0,"грн",M349))))</f>
        <v>грн</v>
      </c>
      <c r="M349" s="16" t="s">
        <v>335</v>
      </c>
    </row>
    <row r="350" spans="1:13" s="1" customFormat="1" ht="48" customHeight="1" x14ac:dyDescent="0.2">
      <c r="A350" s="21"/>
      <c r="B350" s="22" t="s">
        <v>332</v>
      </c>
      <c r="C350" s="22"/>
      <c r="D350" s="23" t="s">
        <v>371</v>
      </c>
      <c r="E350" s="24" t="s">
        <v>372</v>
      </c>
      <c r="F350" s="26">
        <v>7.1</v>
      </c>
      <c r="G350" s="25">
        <v>10</v>
      </c>
      <c r="H350" s="25">
        <v>50</v>
      </c>
      <c r="I350" s="24" t="s">
        <v>25</v>
      </c>
      <c r="J350" s="12">
        <f>632.838 * IF(K350 = 980, 1, IF(K350 = 840,IF($L$3&gt;0,$L$3,1),IF(K350=982,IF($N$3&gt;0,$N$3,1))))</f>
        <v>632.83799999999997</v>
      </c>
      <c r="K350" s="13">
        <v>980</v>
      </c>
      <c r="L350" s="14">
        <f>759.41 * IF(M350 = 980, 1, IF(M350 = 840,IF($L$3&gt;0,$L$3,1),IF(M350=982,IF($N$3&gt;0,$N$3,1))))</f>
        <v>759.41</v>
      </c>
      <c r="M350" s="13">
        <v>980</v>
      </c>
    </row>
    <row r="351" spans="1:13" s="1" customFormat="1" ht="48" customHeight="1" x14ac:dyDescent="0.2">
      <c r="A351" s="21"/>
      <c r="B351" s="22"/>
      <c r="C351" s="22"/>
      <c r="D351" s="23"/>
      <c r="E351" s="24"/>
      <c r="F351" s="26"/>
      <c r="G351" s="25"/>
      <c r="H351" s="25"/>
      <c r="I351" s="24"/>
      <c r="J351" s="15" t="str">
        <f xml:space="preserve"> IF(K350 = 980, K351,IF(K350 = 840,IF($L$3&gt;0,"грн",K351),IF(K350=982,IF($N$3&gt;0,"грн",K351))))</f>
        <v>грн</v>
      </c>
      <c r="K351" s="16" t="s">
        <v>335</v>
      </c>
      <c r="L351" s="15" t="str">
        <f xml:space="preserve"> IF(M350 = 980, M351,IF(M350 = 840,IF($L$3&gt;0,"грн",M351),IF(M350=982,IF($N$3&gt;0,"грн",M351))))</f>
        <v>грн</v>
      </c>
      <c r="M351" s="16" t="s">
        <v>335</v>
      </c>
    </row>
    <row r="352" spans="1:13" s="1" customFormat="1" ht="48" customHeight="1" x14ac:dyDescent="0.2">
      <c r="A352" s="21"/>
      <c r="B352" s="22" t="s">
        <v>332</v>
      </c>
      <c r="C352" s="22"/>
      <c r="D352" s="23" t="s">
        <v>373</v>
      </c>
      <c r="E352" s="24" t="s">
        <v>374</v>
      </c>
      <c r="F352" s="26">
        <v>10.5</v>
      </c>
      <c r="G352" s="25">
        <v>16</v>
      </c>
      <c r="H352" s="25">
        <v>50</v>
      </c>
      <c r="I352" s="24" t="s">
        <v>51</v>
      </c>
      <c r="J352" s="12">
        <f>923.012 * IF(K352 = 980, 1, IF(K352 = 840,IF($L$3&gt;0,$L$3,1),IF(K352=982,IF($N$3&gt;0,$N$3,1))))</f>
        <v>923.01199999999994</v>
      </c>
      <c r="K352" s="13">
        <v>980</v>
      </c>
      <c r="L352" s="19">
        <f>1107.61 * IF(M352 = 980, 1, IF(M352 = 840,IF($L$3&gt;0,$L$3,1),IF(M352=982,IF($N$3&gt;0,$N$3,1))))</f>
        <v>1107.6099999999999</v>
      </c>
      <c r="M352" s="13">
        <v>980</v>
      </c>
    </row>
    <row r="353" spans="1:13" s="1" customFormat="1" ht="48" customHeight="1" x14ac:dyDescent="0.2">
      <c r="A353" s="21"/>
      <c r="B353" s="22"/>
      <c r="C353" s="22"/>
      <c r="D353" s="23"/>
      <c r="E353" s="24"/>
      <c r="F353" s="26"/>
      <c r="G353" s="25"/>
      <c r="H353" s="25"/>
      <c r="I353" s="24"/>
      <c r="J353" s="15" t="str">
        <f xml:space="preserve"> IF(K352 = 980, K353,IF(K352 = 840,IF($L$3&gt;0,"грн",K353),IF(K352=982,IF($N$3&gt;0,"грн",K353))))</f>
        <v>грн</v>
      </c>
      <c r="K353" s="16" t="s">
        <v>335</v>
      </c>
      <c r="L353" s="15" t="str">
        <f xml:space="preserve"> IF(M352 = 980, M353,IF(M352 = 840,IF($L$3&gt;0,"грн",M353),IF(M352=982,IF($N$3&gt;0,"грн",M353))))</f>
        <v>грн</v>
      </c>
      <c r="M353" s="16" t="s">
        <v>335</v>
      </c>
    </row>
    <row r="354" spans="1:13" s="1" customFormat="1" ht="48" customHeight="1" x14ac:dyDescent="0.2">
      <c r="A354" s="21"/>
      <c r="B354" s="22" t="s">
        <v>332</v>
      </c>
      <c r="C354" s="22"/>
      <c r="D354" s="23" t="s">
        <v>375</v>
      </c>
      <c r="E354" s="24" t="s">
        <v>376</v>
      </c>
      <c r="F354" s="26">
        <v>7.2</v>
      </c>
      <c r="G354" s="25">
        <v>16</v>
      </c>
      <c r="H354" s="25">
        <v>50</v>
      </c>
      <c r="I354" s="24" t="s">
        <v>25</v>
      </c>
      <c r="J354" s="12">
        <f>686.508 * IF(K354 = 980, 1, IF(K354 = 840,IF($L$3&gt;0,$L$3,1),IF(K354=982,IF($N$3&gt;0,$N$3,1))))</f>
        <v>686.50800000000004</v>
      </c>
      <c r="K354" s="13">
        <v>980</v>
      </c>
      <c r="L354" s="14">
        <f>823.81 * IF(M354 = 980, 1, IF(M354 = 840,IF($L$3&gt;0,$L$3,1),IF(M354=982,IF($N$3&gt;0,$N$3,1))))</f>
        <v>823.81</v>
      </c>
      <c r="M354" s="13">
        <v>980</v>
      </c>
    </row>
    <row r="355" spans="1:13" s="1" customFormat="1" ht="48" customHeight="1" x14ac:dyDescent="0.2">
      <c r="A355" s="21"/>
      <c r="B355" s="22"/>
      <c r="C355" s="22"/>
      <c r="D355" s="23"/>
      <c r="E355" s="24"/>
      <c r="F355" s="26"/>
      <c r="G355" s="25"/>
      <c r="H355" s="25"/>
      <c r="I355" s="24"/>
      <c r="J355" s="15" t="str">
        <f xml:space="preserve"> IF(K354 = 980, K355,IF(K354 = 840,IF($L$3&gt;0,"грн",K355),IF(K354=982,IF($N$3&gt;0,"грн",K355))))</f>
        <v>грн</v>
      </c>
      <c r="K355" s="16" t="s">
        <v>335</v>
      </c>
      <c r="L355" s="15" t="str">
        <f xml:space="preserve"> IF(M354 = 980, M355,IF(M354 = 840,IF($L$3&gt;0,"грн",M355),IF(M354=982,IF($N$3&gt;0,"грн",M355))))</f>
        <v>грн</v>
      </c>
      <c r="M355" s="16" t="s">
        <v>335</v>
      </c>
    </row>
    <row r="356" spans="1:13" s="1" customFormat="1" ht="48" customHeight="1" x14ac:dyDescent="0.2">
      <c r="A356" s="21"/>
      <c r="B356" s="22" t="s">
        <v>332</v>
      </c>
      <c r="C356" s="22"/>
      <c r="D356" s="23" t="s">
        <v>377</v>
      </c>
      <c r="E356" s="24" t="s">
        <v>378</v>
      </c>
      <c r="F356" s="25">
        <v>10</v>
      </c>
      <c r="G356" s="25">
        <v>18</v>
      </c>
      <c r="H356" s="25">
        <v>50</v>
      </c>
      <c r="I356" s="24" t="s">
        <v>25</v>
      </c>
      <c r="J356" s="12">
        <f>875.239 * IF(K356 = 980, 1, IF(K356 = 840,IF($L$3&gt;0,$L$3,1),IF(K356=982,IF($N$3&gt;0,$N$3,1))))</f>
        <v>875.23900000000003</v>
      </c>
      <c r="K356" s="13">
        <v>980</v>
      </c>
      <c r="L356" s="19">
        <f>1050.29 * IF(M356 = 980, 1, IF(M356 = 840,IF($L$3&gt;0,$L$3,1),IF(M356=982,IF($N$3&gt;0,$N$3,1))))</f>
        <v>1050.29</v>
      </c>
      <c r="M356" s="13">
        <v>980</v>
      </c>
    </row>
    <row r="357" spans="1:13" s="1" customFormat="1" ht="48" customHeight="1" x14ac:dyDescent="0.2">
      <c r="A357" s="21"/>
      <c r="B357" s="22"/>
      <c r="C357" s="22"/>
      <c r="D357" s="23"/>
      <c r="E357" s="24"/>
      <c r="F357" s="25"/>
      <c r="G357" s="25"/>
      <c r="H357" s="25"/>
      <c r="I357" s="24"/>
      <c r="J357" s="15" t="str">
        <f xml:space="preserve"> IF(K356 = 980, K357,IF(K356 = 840,IF($L$3&gt;0,"грн",K357),IF(K356=982,IF($N$3&gt;0,"грн",K357))))</f>
        <v>грн</v>
      </c>
      <c r="K357" s="16" t="s">
        <v>335</v>
      </c>
      <c r="L357" s="15" t="str">
        <f xml:space="preserve"> IF(M356 = 980, M357,IF(M356 = 840,IF($L$3&gt;0,"грн",M357),IF(M356=982,IF($N$3&gt;0,"грн",M357))))</f>
        <v>грн</v>
      </c>
      <c r="M357" s="16" t="s">
        <v>335</v>
      </c>
    </row>
    <row r="358" spans="1:13" ht="16.05" customHeight="1" x14ac:dyDescent="0.3">
      <c r="A358" s="10" t="s">
        <v>379</v>
      </c>
      <c r="B358" s="11"/>
      <c r="C358" s="11"/>
      <c r="D358" s="11"/>
      <c r="E358" s="11"/>
      <c r="F358" s="11"/>
      <c r="G358" s="11"/>
      <c r="H358" s="11"/>
      <c r="I358" s="11"/>
      <c r="J358" s="11"/>
    </row>
    <row r="359" spans="1:13" ht="16.05" customHeight="1" x14ac:dyDescent="0.3">
      <c r="A359" s="10" t="s">
        <v>380</v>
      </c>
      <c r="B359" s="11"/>
      <c r="C359" s="11"/>
      <c r="D359" s="11"/>
      <c r="E359" s="11"/>
      <c r="F359" s="11"/>
      <c r="G359" s="11"/>
      <c r="H359" s="11"/>
      <c r="I359" s="11"/>
      <c r="J359" s="11"/>
    </row>
    <row r="360" spans="1:13" s="1" customFormat="1" ht="48" customHeight="1" x14ac:dyDescent="0.2">
      <c r="A360" s="21"/>
      <c r="B360" s="22" t="s">
        <v>168</v>
      </c>
      <c r="C360" s="22"/>
      <c r="D360" s="23" t="s">
        <v>381</v>
      </c>
      <c r="E360" s="24" t="s">
        <v>382</v>
      </c>
      <c r="F360" s="26">
        <v>3.5</v>
      </c>
      <c r="G360" s="26">
        <v>12.5</v>
      </c>
      <c r="H360" s="25">
        <v>25</v>
      </c>
      <c r="I360" s="24" t="s">
        <v>25</v>
      </c>
      <c r="J360" s="12">
        <f>15.519 * IF(K360 = 980, 1, IF(K360 = 840,IF($L$3&gt;0,$L$3,1),IF(K360=982,IF($N$3&gt;0,$N$3,1))))</f>
        <v>15.519</v>
      </c>
      <c r="K360" s="13">
        <v>840</v>
      </c>
      <c r="L360" s="14">
        <f>18.62 * IF(M360 = 980, 1, IF(M360 = 840,IF($L$3&gt;0,$L$3,1),IF(M360=982,IF($N$3&gt;0,$N$3,1))))</f>
        <v>18.62</v>
      </c>
      <c r="M360" s="13">
        <v>840</v>
      </c>
    </row>
    <row r="361" spans="1:13" s="1" customFormat="1" ht="48" customHeight="1" x14ac:dyDescent="0.2">
      <c r="A361" s="21"/>
      <c r="B361" s="22"/>
      <c r="C361" s="22"/>
      <c r="D361" s="23"/>
      <c r="E361" s="24"/>
      <c r="F361" s="26"/>
      <c r="G361" s="26"/>
      <c r="H361" s="25"/>
      <c r="I361" s="24"/>
      <c r="J361" s="15" t="str">
        <f xml:space="preserve"> IF(K360 = 980, K361,IF(K360 = 840,IF($L$3&gt;0,"грн",K361),IF(K360=982,IF($N$3&gt;0,"грн",K361))))</f>
        <v>USD</v>
      </c>
      <c r="K361" s="16" t="s">
        <v>26</v>
      </c>
      <c r="L361" s="15" t="str">
        <f xml:space="preserve"> IF(M360 = 980, M361,IF(M360 = 840,IF($L$3&gt;0,"грн",M361),IF(M360=982,IF($N$3&gt;0,"грн",M361))))</f>
        <v>USD</v>
      </c>
      <c r="M361" s="16" t="s">
        <v>26</v>
      </c>
    </row>
    <row r="362" spans="1:13" s="1" customFormat="1" ht="48" customHeight="1" x14ac:dyDescent="0.2">
      <c r="A362" s="21"/>
      <c r="B362" s="22" t="s">
        <v>168</v>
      </c>
      <c r="C362" s="22"/>
      <c r="D362" s="23" t="s">
        <v>383</v>
      </c>
      <c r="E362" s="24" t="s">
        <v>384</v>
      </c>
      <c r="F362" s="26">
        <v>6.8</v>
      </c>
      <c r="G362" s="26">
        <v>12.5</v>
      </c>
      <c r="H362" s="25">
        <v>50</v>
      </c>
      <c r="I362" s="24" t="s">
        <v>25</v>
      </c>
      <c r="J362" s="12">
        <f>31.038 * IF(K362 = 980, 1, IF(K362 = 840,IF($L$3&gt;0,$L$3,1),IF(K362=982,IF($N$3&gt;0,$N$3,1))))</f>
        <v>31.038</v>
      </c>
      <c r="K362" s="13">
        <v>840</v>
      </c>
      <c r="L362" s="14">
        <f>37.25 * IF(M362 = 980, 1, IF(M362 = 840,IF($L$3&gt;0,$L$3,1),IF(M362=982,IF($N$3&gt;0,$N$3,1))))</f>
        <v>37.25</v>
      </c>
      <c r="M362" s="13">
        <v>840</v>
      </c>
    </row>
    <row r="363" spans="1:13" s="1" customFormat="1" ht="48" customHeight="1" x14ac:dyDescent="0.2">
      <c r="A363" s="21"/>
      <c r="B363" s="22"/>
      <c r="C363" s="22"/>
      <c r="D363" s="23"/>
      <c r="E363" s="24"/>
      <c r="F363" s="26"/>
      <c r="G363" s="26"/>
      <c r="H363" s="25"/>
      <c r="I363" s="24"/>
      <c r="J363" s="15" t="str">
        <f xml:space="preserve"> IF(K362 = 980, K363,IF(K362 = 840,IF($L$3&gt;0,"грн",K363),IF(K362=982,IF($N$3&gt;0,"грн",K363))))</f>
        <v>USD</v>
      </c>
      <c r="K363" s="16" t="s">
        <v>26</v>
      </c>
      <c r="L363" s="15" t="str">
        <f xml:space="preserve"> IF(M362 = 980, M363,IF(M362 = 840,IF($L$3&gt;0,"грн",M363),IF(M362=982,IF($N$3&gt;0,"грн",M363))))</f>
        <v>USD</v>
      </c>
      <c r="M363" s="16" t="s">
        <v>26</v>
      </c>
    </row>
    <row r="364" spans="1:13" s="1" customFormat="1" ht="48" customHeight="1" x14ac:dyDescent="0.2">
      <c r="A364" s="21"/>
      <c r="B364" s="22" t="s">
        <v>168</v>
      </c>
      <c r="C364" s="22"/>
      <c r="D364" s="23" t="s">
        <v>385</v>
      </c>
      <c r="E364" s="24" t="s">
        <v>386</v>
      </c>
      <c r="F364" s="26">
        <v>4.7</v>
      </c>
      <c r="G364" s="25">
        <v>16</v>
      </c>
      <c r="H364" s="25">
        <v>25</v>
      </c>
      <c r="I364" s="24" t="s">
        <v>25</v>
      </c>
      <c r="J364" s="12">
        <f>19.567 * IF(K364 = 980, 1, IF(K364 = 840,IF($L$3&gt;0,$L$3,1),IF(K364=982,IF($N$3&gt;0,$N$3,1))))</f>
        <v>19.567</v>
      </c>
      <c r="K364" s="13">
        <v>840</v>
      </c>
      <c r="L364" s="14">
        <f>23.48 * IF(M364 = 980, 1, IF(M364 = 840,IF($L$3&gt;0,$L$3,1),IF(M364=982,IF($N$3&gt;0,$N$3,1))))</f>
        <v>23.48</v>
      </c>
      <c r="M364" s="13">
        <v>840</v>
      </c>
    </row>
    <row r="365" spans="1:13" s="1" customFormat="1" ht="48" customHeight="1" x14ac:dyDescent="0.2">
      <c r="A365" s="21"/>
      <c r="B365" s="22"/>
      <c r="C365" s="22"/>
      <c r="D365" s="23"/>
      <c r="E365" s="24"/>
      <c r="F365" s="26"/>
      <c r="G365" s="25"/>
      <c r="H365" s="25"/>
      <c r="I365" s="24"/>
      <c r="J365" s="15" t="str">
        <f xml:space="preserve"> IF(K364 = 980, K365,IF(K364 = 840,IF($L$3&gt;0,"грн",K365),IF(K364=982,IF($N$3&gt;0,"грн",K365))))</f>
        <v>USD</v>
      </c>
      <c r="K365" s="16" t="s">
        <v>26</v>
      </c>
      <c r="L365" s="15" t="str">
        <f xml:space="preserve"> IF(M364 = 980, M365,IF(M364 = 840,IF($L$3&gt;0,"грн",M365),IF(M364=982,IF($N$3&gt;0,"грн",M365))))</f>
        <v>USD</v>
      </c>
      <c r="M365" s="16" t="s">
        <v>26</v>
      </c>
    </row>
    <row r="366" spans="1:13" s="1" customFormat="1" ht="48" customHeight="1" x14ac:dyDescent="0.2">
      <c r="A366" s="21"/>
      <c r="B366" s="22" t="s">
        <v>168</v>
      </c>
      <c r="C366" s="22"/>
      <c r="D366" s="23" t="s">
        <v>387</v>
      </c>
      <c r="E366" s="24" t="s">
        <v>388</v>
      </c>
      <c r="F366" s="27">
        <v>9.15</v>
      </c>
      <c r="G366" s="25">
        <v>16</v>
      </c>
      <c r="H366" s="25">
        <v>50</v>
      </c>
      <c r="I366" s="24" t="s">
        <v>25</v>
      </c>
      <c r="J366" s="12">
        <f>39.135 * IF(K366 = 980, 1, IF(K366 = 840,IF($L$3&gt;0,$L$3,1),IF(K366=982,IF($N$3&gt;0,$N$3,1))))</f>
        <v>39.134999999999998</v>
      </c>
      <c r="K366" s="13">
        <v>840</v>
      </c>
      <c r="L366" s="14">
        <f>46.96 * IF(M366 = 980, 1, IF(M366 = 840,IF($L$3&gt;0,$L$3,1),IF(M366=982,IF($N$3&gt;0,$N$3,1))))</f>
        <v>46.96</v>
      </c>
      <c r="M366" s="13">
        <v>840</v>
      </c>
    </row>
    <row r="367" spans="1:13" s="1" customFormat="1" ht="48" customHeight="1" x14ac:dyDescent="0.2">
      <c r="A367" s="21"/>
      <c r="B367" s="22"/>
      <c r="C367" s="22"/>
      <c r="D367" s="23"/>
      <c r="E367" s="24"/>
      <c r="F367" s="27"/>
      <c r="G367" s="25"/>
      <c r="H367" s="25"/>
      <c r="I367" s="24"/>
      <c r="J367" s="15" t="str">
        <f xml:space="preserve"> IF(K366 = 980, K367,IF(K366 = 840,IF($L$3&gt;0,"грн",K367),IF(K366=982,IF($N$3&gt;0,"грн",K367))))</f>
        <v>USD</v>
      </c>
      <c r="K367" s="16" t="s">
        <v>26</v>
      </c>
      <c r="L367" s="15" t="str">
        <f xml:space="preserve"> IF(M366 = 980, M367,IF(M366 = 840,IF($L$3&gt;0,"грн",M367),IF(M366=982,IF($N$3&gt;0,"грн",M367))))</f>
        <v>USD</v>
      </c>
      <c r="M367" s="16" t="s">
        <v>26</v>
      </c>
    </row>
    <row r="368" spans="1:13" s="1" customFormat="1" ht="48" customHeight="1" x14ac:dyDescent="0.2">
      <c r="A368" s="21"/>
      <c r="B368" s="22" t="s">
        <v>168</v>
      </c>
      <c r="C368" s="22"/>
      <c r="D368" s="23" t="s">
        <v>389</v>
      </c>
      <c r="E368" s="24" t="s">
        <v>390</v>
      </c>
      <c r="F368" s="26">
        <v>6.5</v>
      </c>
      <c r="G368" s="25">
        <v>19</v>
      </c>
      <c r="H368" s="25">
        <v>25</v>
      </c>
      <c r="I368" s="24" t="s">
        <v>51</v>
      </c>
      <c r="J368" s="12">
        <f>24.627 * IF(K368 = 980, 1, IF(K368 = 840,IF($L$3&gt;0,$L$3,1),IF(K368=982,IF($N$3&gt;0,$N$3,1))))</f>
        <v>24.626999999999999</v>
      </c>
      <c r="K368" s="13">
        <v>840</v>
      </c>
      <c r="L368" s="14">
        <f>29.55 * IF(M368 = 980, 1, IF(M368 = 840,IF($L$3&gt;0,$L$3,1),IF(M368=982,IF($N$3&gt;0,$N$3,1))))</f>
        <v>29.55</v>
      </c>
      <c r="M368" s="13">
        <v>840</v>
      </c>
    </row>
    <row r="369" spans="1:13" s="1" customFormat="1" ht="48" customHeight="1" x14ac:dyDescent="0.2">
      <c r="A369" s="21"/>
      <c r="B369" s="22"/>
      <c r="C369" s="22"/>
      <c r="D369" s="23"/>
      <c r="E369" s="24"/>
      <c r="F369" s="26"/>
      <c r="G369" s="25"/>
      <c r="H369" s="25"/>
      <c r="I369" s="24"/>
      <c r="J369" s="15" t="str">
        <f xml:space="preserve"> IF(K368 = 980, K369,IF(K368 = 840,IF($L$3&gt;0,"грн",K369),IF(K368=982,IF($N$3&gt;0,"грн",K369))))</f>
        <v>USD</v>
      </c>
      <c r="K369" s="16" t="s">
        <v>26</v>
      </c>
      <c r="L369" s="15" t="str">
        <f xml:space="preserve"> IF(M368 = 980, M369,IF(M368 = 840,IF($L$3&gt;0,"грн",M369),IF(M368=982,IF($N$3&gt;0,"грн",M369))))</f>
        <v>USD</v>
      </c>
      <c r="M369" s="16" t="s">
        <v>26</v>
      </c>
    </row>
    <row r="370" spans="1:13" s="1" customFormat="1" ht="48" customHeight="1" x14ac:dyDescent="0.2">
      <c r="A370" s="21"/>
      <c r="B370" s="22" t="s">
        <v>168</v>
      </c>
      <c r="C370" s="22"/>
      <c r="D370" s="23" t="s">
        <v>391</v>
      </c>
      <c r="E370" s="24" t="s">
        <v>392</v>
      </c>
      <c r="F370" s="27">
        <v>12.95</v>
      </c>
      <c r="G370" s="25">
        <v>19</v>
      </c>
      <c r="H370" s="25">
        <v>50</v>
      </c>
      <c r="I370" s="24" t="s">
        <v>51</v>
      </c>
      <c r="J370" s="12">
        <f>49.256 * IF(K370 = 980, 1, IF(K370 = 840,IF($L$3&gt;0,$L$3,1),IF(K370=982,IF($N$3&gt;0,$N$3,1))))</f>
        <v>49.256</v>
      </c>
      <c r="K370" s="13">
        <v>840</v>
      </c>
      <c r="L370" s="14">
        <f>59.11 * IF(M370 = 980, 1, IF(M370 = 840,IF($L$3&gt;0,$L$3,1),IF(M370=982,IF($N$3&gt;0,$N$3,1))))</f>
        <v>59.11</v>
      </c>
      <c r="M370" s="13">
        <v>840</v>
      </c>
    </row>
    <row r="371" spans="1:13" s="1" customFormat="1" ht="48" customHeight="1" x14ac:dyDescent="0.2">
      <c r="A371" s="21"/>
      <c r="B371" s="22"/>
      <c r="C371" s="22"/>
      <c r="D371" s="23"/>
      <c r="E371" s="24"/>
      <c r="F371" s="27"/>
      <c r="G371" s="25"/>
      <c r="H371" s="25"/>
      <c r="I371" s="24"/>
      <c r="J371" s="15" t="str">
        <f xml:space="preserve"> IF(K370 = 980, K371,IF(K370 = 840,IF($L$3&gt;0,"грн",K371),IF(K370=982,IF($N$3&gt;0,"грн",K371))))</f>
        <v>USD</v>
      </c>
      <c r="K371" s="16" t="s">
        <v>26</v>
      </c>
      <c r="L371" s="15" t="str">
        <f xml:space="preserve"> IF(M370 = 980, M371,IF(M370 = 840,IF($L$3&gt;0,"грн",M371),IF(M370=982,IF($N$3&gt;0,"грн",M371))))</f>
        <v>USD</v>
      </c>
      <c r="M371" s="16" t="s">
        <v>26</v>
      </c>
    </row>
    <row r="372" spans="1:13" ht="16.05" customHeight="1" x14ac:dyDescent="0.3">
      <c r="A372" s="10" t="s">
        <v>393</v>
      </c>
      <c r="B372" s="11"/>
      <c r="C372" s="11"/>
      <c r="D372" s="11"/>
      <c r="E372" s="11"/>
      <c r="F372" s="11"/>
      <c r="G372" s="11"/>
      <c r="H372" s="11"/>
      <c r="I372" s="11"/>
      <c r="J372" s="11"/>
    </row>
    <row r="373" spans="1:13" s="1" customFormat="1" ht="48" customHeight="1" x14ac:dyDescent="0.2">
      <c r="A373" s="21"/>
      <c r="B373" s="22" t="s">
        <v>168</v>
      </c>
      <c r="C373" s="22"/>
      <c r="D373" s="23" t="s">
        <v>394</v>
      </c>
      <c r="E373" s="24" t="s">
        <v>395</v>
      </c>
      <c r="F373" s="26">
        <v>3.5</v>
      </c>
      <c r="G373" s="26">
        <v>12.5</v>
      </c>
      <c r="H373" s="25">
        <v>25</v>
      </c>
      <c r="I373" s="24" t="s">
        <v>25</v>
      </c>
      <c r="J373" s="12">
        <f>16.194 * IF(K373 = 980, 1, IF(K373 = 840,IF($L$3&gt;0,$L$3,1),IF(K373=982,IF($N$3&gt;0,$N$3,1))))</f>
        <v>16.193999999999999</v>
      </c>
      <c r="K373" s="13">
        <v>840</v>
      </c>
      <c r="L373" s="14">
        <f>19.43 * IF(M373 = 980, 1, IF(M373 = 840,IF($L$3&gt;0,$L$3,1),IF(M373=982,IF($N$3&gt;0,$N$3,1))))</f>
        <v>19.43</v>
      </c>
      <c r="M373" s="13">
        <v>840</v>
      </c>
    </row>
    <row r="374" spans="1:13" s="1" customFormat="1" ht="48" customHeight="1" x14ac:dyDescent="0.2">
      <c r="A374" s="21"/>
      <c r="B374" s="22"/>
      <c r="C374" s="22"/>
      <c r="D374" s="23"/>
      <c r="E374" s="24"/>
      <c r="F374" s="26"/>
      <c r="G374" s="26"/>
      <c r="H374" s="25"/>
      <c r="I374" s="24"/>
      <c r="J374" s="15" t="str">
        <f xml:space="preserve"> IF(K373 = 980, K374,IF(K373 = 840,IF($L$3&gt;0,"грн",K374),IF(K373=982,IF($N$3&gt;0,"грн",K374))))</f>
        <v>USD</v>
      </c>
      <c r="K374" s="16" t="s">
        <v>26</v>
      </c>
      <c r="L374" s="15" t="str">
        <f xml:space="preserve"> IF(M373 = 980, M374,IF(M373 = 840,IF($L$3&gt;0,"грн",M374),IF(M373=982,IF($N$3&gt;0,"грн",M374))))</f>
        <v>USD</v>
      </c>
      <c r="M374" s="16" t="s">
        <v>26</v>
      </c>
    </row>
    <row r="375" spans="1:13" s="1" customFormat="1" ht="48" customHeight="1" x14ac:dyDescent="0.2">
      <c r="A375" s="21"/>
      <c r="B375" s="22" t="s">
        <v>168</v>
      </c>
      <c r="C375" s="22"/>
      <c r="D375" s="23" t="s">
        <v>396</v>
      </c>
      <c r="E375" s="24" t="s">
        <v>397</v>
      </c>
      <c r="F375" s="25">
        <v>7</v>
      </c>
      <c r="G375" s="26">
        <v>12.5</v>
      </c>
      <c r="H375" s="25">
        <v>50</v>
      </c>
      <c r="I375" s="24" t="s">
        <v>25</v>
      </c>
      <c r="J375" s="12">
        <f>32.387 * IF(K375 = 980, 1, IF(K375 = 840,IF($L$3&gt;0,$L$3,1),IF(K375=982,IF($N$3&gt;0,$N$3,1))))</f>
        <v>32.387</v>
      </c>
      <c r="K375" s="13">
        <v>840</v>
      </c>
      <c r="L375" s="14">
        <f>38.86 * IF(M375 = 980, 1, IF(M375 = 840,IF($L$3&gt;0,$L$3,1),IF(M375=982,IF($N$3&gt;0,$N$3,1))))</f>
        <v>38.86</v>
      </c>
      <c r="M375" s="13">
        <v>840</v>
      </c>
    </row>
    <row r="376" spans="1:13" s="1" customFormat="1" ht="48" customHeight="1" x14ac:dyDescent="0.2">
      <c r="A376" s="21"/>
      <c r="B376" s="22"/>
      <c r="C376" s="22"/>
      <c r="D376" s="23"/>
      <c r="E376" s="24"/>
      <c r="F376" s="25"/>
      <c r="G376" s="26"/>
      <c r="H376" s="25"/>
      <c r="I376" s="24"/>
      <c r="J376" s="15" t="str">
        <f xml:space="preserve"> IF(K375 = 980, K376,IF(K375 = 840,IF($L$3&gt;0,"грн",K376),IF(K375=982,IF($N$3&gt;0,"грн",K376))))</f>
        <v>USD</v>
      </c>
      <c r="K376" s="16" t="s">
        <v>26</v>
      </c>
      <c r="L376" s="15" t="str">
        <f xml:space="preserve"> IF(M375 = 980, M376,IF(M375 = 840,IF($L$3&gt;0,"грн",M376),IF(M375=982,IF($N$3&gt;0,"грн",M376))))</f>
        <v>USD</v>
      </c>
      <c r="M376" s="16" t="s">
        <v>26</v>
      </c>
    </row>
    <row r="377" spans="1:13" s="1" customFormat="1" ht="48" customHeight="1" x14ac:dyDescent="0.2">
      <c r="A377" s="21"/>
      <c r="B377" s="22" t="s">
        <v>168</v>
      </c>
      <c r="C377" s="22"/>
      <c r="D377" s="23" t="s">
        <v>398</v>
      </c>
      <c r="E377" s="24" t="s">
        <v>399</v>
      </c>
      <c r="F377" s="26">
        <v>4.7</v>
      </c>
      <c r="G377" s="25">
        <v>16</v>
      </c>
      <c r="H377" s="25">
        <v>25</v>
      </c>
      <c r="I377" s="24" t="s">
        <v>51</v>
      </c>
      <c r="J377" s="12">
        <f>20.579 * IF(K377 = 980, 1, IF(K377 = 840,IF($L$3&gt;0,$L$3,1),IF(K377=982,IF($N$3&gt;0,$N$3,1))))</f>
        <v>20.579000000000001</v>
      </c>
      <c r="K377" s="13">
        <v>840</v>
      </c>
      <c r="L377" s="14">
        <f>24.69 * IF(M377 = 980, 1, IF(M377 = 840,IF($L$3&gt;0,$L$3,1),IF(M377=982,IF($N$3&gt;0,$N$3,1))))</f>
        <v>24.69</v>
      </c>
      <c r="M377" s="13">
        <v>840</v>
      </c>
    </row>
    <row r="378" spans="1:13" s="1" customFormat="1" ht="48" customHeight="1" x14ac:dyDescent="0.2">
      <c r="A378" s="21"/>
      <c r="B378" s="22"/>
      <c r="C378" s="22"/>
      <c r="D378" s="23"/>
      <c r="E378" s="24"/>
      <c r="F378" s="26"/>
      <c r="G378" s="25"/>
      <c r="H378" s="25"/>
      <c r="I378" s="24"/>
      <c r="J378" s="15" t="str">
        <f xml:space="preserve"> IF(K377 = 980, K378,IF(K377 = 840,IF($L$3&gt;0,"грн",K378),IF(K377=982,IF($N$3&gt;0,"грн",K378))))</f>
        <v>USD</v>
      </c>
      <c r="K378" s="16" t="s">
        <v>26</v>
      </c>
      <c r="L378" s="15" t="str">
        <f xml:space="preserve"> IF(M377 = 980, M378,IF(M377 = 840,IF($L$3&gt;0,"грн",M378),IF(M377=982,IF($N$3&gt;0,"грн",M378))))</f>
        <v>USD</v>
      </c>
      <c r="M378" s="16" t="s">
        <v>26</v>
      </c>
    </row>
    <row r="379" spans="1:13" s="1" customFormat="1" ht="48" customHeight="1" x14ac:dyDescent="0.2">
      <c r="A379" s="21"/>
      <c r="B379" s="22" t="s">
        <v>168</v>
      </c>
      <c r="C379" s="22"/>
      <c r="D379" s="23" t="s">
        <v>400</v>
      </c>
      <c r="E379" s="24" t="s">
        <v>401</v>
      </c>
      <c r="F379" s="26">
        <v>9.1999999999999993</v>
      </c>
      <c r="G379" s="25">
        <v>16</v>
      </c>
      <c r="H379" s="25">
        <v>50</v>
      </c>
      <c r="I379" s="24" t="s">
        <v>42</v>
      </c>
      <c r="J379" s="12">
        <f>41.159 * IF(K379 = 980, 1, IF(K379 = 840,IF($L$3&gt;0,$L$3,1),IF(K379=982,IF($N$3&gt;0,$N$3,1))))</f>
        <v>41.158999999999999</v>
      </c>
      <c r="K379" s="13">
        <v>840</v>
      </c>
      <c r="L379" s="14">
        <f>49.39 * IF(M379 = 980, 1, IF(M379 = 840,IF($L$3&gt;0,$L$3,1),IF(M379=982,IF($N$3&gt;0,$N$3,1))))</f>
        <v>49.39</v>
      </c>
      <c r="M379" s="13">
        <v>840</v>
      </c>
    </row>
    <row r="380" spans="1:13" s="1" customFormat="1" ht="48" customHeight="1" x14ac:dyDescent="0.2">
      <c r="A380" s="21"/>
      <c r="B380" s="22"/>
      <c r="C380" s="22"/>
      <c r="D380" s="23"/>
      <c r="E380" s="24"/>
      <c r="F380" s="26"/>
      <c r="G380" s="25"/>
      <c r="H380" s="25"/>
      <c r="I380" s="24"/>
      <c r="J380" s="15" t="str">
        <f xml:space="preserve"> IF(K379 = 980, K380,IF(K379 = 840,IF($L$3&gt;0,"грн",K380),IF(K379=982,IF($N$3&gt;0,"грн",K380))))</f>
        <v>USD</v>
      </c>
      <c r="K380" s="16" t="s">
        <v>26</v>
      </c>
      <c r="L380" s="15" t="str">
        <f xml:space="preserve"> IF(M379 = 980, M380,IF(M379 = 840,IF($L$3&gt;0,"грн",M380),IF(M379=982,IF($N$3&gt;0,"грн",M380))))</f>
        <v>USD</v>
      </c>
      <c r="M380" s="16" t="s">
        <v>26</v>
      </c>
    </row>
    <row r="381" spans="1:13" s="1" customFormat="1" ht="48" customHeight="1" x14ac:dyDescent="0.2">
      <c r="A381" s="21"/>
      <c r="B381" s="22" t="s">
        <v>168</v>
      </c>
      <c r="C381" s="22"/>
      <c r="D381" s="23" t="s">
        <v>402</v>
      </c>
      <c r="E381" s="24" t="s">
        <v>403</v>
      </c>
      <c r="F381" s="26">
        <v>6.5</v>
      </c>
      <c r="G381" s="25">
        <v>19</v>
      </c>
      <c r="H381" s="25">
        <v>25</v>
      </c>
      <c r="I381" s="24" t="s">
        <v>51</v>
      </c>
      <c r="J381" s="12">
        <f>26.314 * IF(K381 = 980, 1, IF(K381 = 840,IF($L$3&gt;0,$L$3,1),IF(K381=982,IF($N$3&gt;0,$N$3,1))))</f>
        <v>26.314</v>
      </c>
      <c r="K381" s="13">
        <v>840</v>
      </c>
      <c r="L381" s="14">
        <f>31.58 * IF(M381 = 980, 1, IF(M381 = 840,IF($L$3&gt;0,$L$3,1),IF(M381=982,IF($N$3&gt;0,$N$3,1))))</f>
        <v>31.58</v>
      </c>
      <c r="M381" s="13">
        <v>840</v>
      </c>
    </row>
    <row r="382" spans="1:13" s="1" customFormat="1" ht="48" customHeight="1" x14ac:dyDescent="0.2">
      <c r="A382" s="21"/>
      <c r="B382" s="22"/>
      <c r="C382" s="22"/>
      <c r="D382" s="23"/>
      <c r="E382" s="24"/>
      <c r="F382" s="26"/>
      <c r="G382" s="25"/>
      <c r="H382" s="25"/>
      <c r="I382" s="24"/>
      <c r="J382" s="15" t="str">
        <f xml:space="preserve"> IF(K381 = 980, K382,IF(K381 = 840,IF($L$3&gt;0,"грн",K382),IF(K381=982,IF($N$3&gt;0,"грн",K382))))</f>
        <v>USD</v>
      </c>
      <c r="K382" s="16" t="s">
        <v>26</v>
      </c>
      <c r="L382" s="15" t="str">
        <f xml:space="preserve"> IF(M381 = 980, M382,IF(M381 = 840,IF($L$3&gt;0,"грн",M382),IF(M381=982,IF($N$3&gt;0,"грн",M382))))</f>
        <v>USD</v>
      </c>
      <c r="M382" s="16" t="s">
        <v>26</v>
      </c>
    </row>
    <row r="383" spans="1:13" s="1" customFormat="1" ht="48" customHeight="1" x14ac:dyDescent="0.2">
      <c r="A383" s="21"/>
      <c r="B383" s="22" t="s">
        <v>168</v>
      </c>
      <c r="C383" s="22"/>
      <c r="D383" s="23" t="s">
        <v>404</v>
      </c>
      <c r="E383" s="24" t="s">
        <v>405</v>
      </c>
      <c r="F383" s="25">
        <v>13</v>
      </c>
      <c r="G383" s="25">
        <v>19</v>
      </c>
      <c r="H383" s="25">
        <v>50</v>
      </c>
      <c r="I383" s="24" t="s">
        <v>51</v>
      </c>
      <c r="J383" s="12">
        <f>52.629 * IF(K383 = 980, 1, IF(K383 = 840,IF($L$3&gt;0,$L$3,1),IF(K383=982,IF($N$3&gt;0,$N$3,1))))</f>
        <v>52.628999999999998</v>
      </c>
      <c r="K383" s="13">
        <v>840</v>
      </c>
      <c r="L383" s="14">
        <f>63.15 * IF(M383 = 980, 1, IF(M383 = 840,IF($L$3&gt;0,$L$3,1),IF(M383=982,IF($N$3&gt;0,$N$3,1))))</f>
        <v>63.15</v>
      </c>
      <c r="M383" s="13">
        <v>840</v>
      </c>
    </row>
    <row r="384" spans="1:13" s="1" customFormat="1" ht="48" customHeight="1" x14ac:dyDescent="0.2">
      <c r="A384" s="21"/>
      <c r="B384" s="22"/>
      <c r="C384" s="22"/>
      <c r="D384" s="23"/>
      <c r="E384" s="24"/>
      <c r="F384" s="25"/>
      <c r="G384" s="25"/>
      <c r="H384" s="25"/>
      <c r="I384" s="24"/>
      <c r="J384" s="15" t="str">
        <f xml:space="preserve"> IF(K383 = 980, K384,IF(K383 = 840,IF($L$3&gt;0,"грн",K384),IF(K383=982,IF($N$3&gt;0,"грн",K384))))</f>
        <v>USD</v>
      </c>
      <c r="K384" s="16" t="s">
        <v>26</v>
      </c>
      <c r="L384" s="15" t="str">
        <f xml:space="preserve"> IF(M383 = 980, M384,IF(M383 = 840,IF($L$3&gt;0,"грн",M384),IF(M383=982,IF($N$3&gt;0,"грн",M384))))</f>
        <v>USD</v>
      </c>
      <c r="M384" s="16" t="s">
        <v>26</v>
      </c>
    </row>
    <row r="385" spans="1:13" s="1" customFormat="1" ht="48" customHeight="1" x14ac:dyDescent="0.2">
      <c r="A385" s="21"/>
      <c r="B385" s="22" t="s">
        <v>168</v>
      </c>
      <c r="C385" s="22"/>
      <c r="D385" s="23" t="s">
        <v>406</v>
      </c>
      <c r="E385" s="24" t="s">
        <v>407</v>
      </c>
      <c r="F385" s="25">
        <v>22</v>
      </c>
      <c r="G385" s="25">
        <v>25</v>
      </c>
      <c r="H385" s="25">
        <v>50</v>
      </c>
      <c r="I385" s="24" t="s">
        <v>51</v>
      </c>
      <c r="J385" s="12">
        <f>86.366 * IF(K385 = 980, 1, IF(K385 = 840,IF($L$3&gt;0,$L$3,1),IF(K385=982,IF($N$3&gt;0,$N$3,1))))</f>
        <v>86.366</v>
      </c>
      <c r="K385" s="13">
        <v>840</v>
      </c>
      <c r="L385" s="14">
        <f>103.64 * IF(M385 = 980, 1, IF(M385 = 840,IF($L$3&gt;0,$L$3,1),IF(M385=982,IF($N$3&gt;0,$N$3,1))))</f>
        <v>103.64</v>
      </c>
      <c r="M385" s="13">
        <v>840</v>
      </c>
    </row>
    <row r="386" spans="1:13" s="1" customFormat="1" ht="48" customHeight="1" x14ac:dyDescent="0.2">
      <c r="A386" s="21"/>
      <c r="B386" s="22"/>
      <c r="C386" s="22"/>
      <c r="D386" s="23"/>
      <c r="E386" s="24"/>
      <c r="F386" s="25"/>
      <c r="G386" s="25"/>
      <c r="H386" s="25"/>
      <c r="I386" s="24"/>
      <c r="J386" s="15" t="str">
        <f xml:space="preserve"> IF(K385 = 980, K386,IF(K385 = 840,IF($L$3&gt;0,"грн",K386),IF(K385=982,IF($N$3&gt;0,"грн",K386))))</f>
        <v>USD</v>
      </c>
      <c r="K386" s="16" t="s">
        <v>26</v>
      </c>
      <c r="L386" s="15" t="str">
        <f xml:space="preserve"> IF(M385 = 980, M386,IF(M385 = 840,IF($L$3&gt;0,"грн",M386),IF(M385=982,IF($N$3&gt;0,"грн",M386))))</f>
        <v>USD</v>
      </c>
      <c r="M386" s="16" t="s">
        <v>26</v>
      </c>
    </row>
    <row r="387" spans="1:13" ht="16.05" customHeight="1" x14ac:dyDescent="0.3">
      <c r="A387" s="10" t="s">
        <v>408</v>
      </c>
      <c r="B387" s="11"/>
      <c r="C387" s="11"/>
      <c r="D387" s="11"/>
      <c r="E387" s="11"/>
      <c r="F387" s="11"/>
      <c r="G387" s="11"/>
      <c r="H387" s="11"/>
      <c r="I387" s="11"/>
      <c r="J387" s="11"/>
    </row>
    <row r="388" spans="1:13" s="1" customFormat="1" ht="48" customHeight="1" x14ac:dyDescent="0.2">
      <c r="A388" s="21"/>
      <c r="B388" s="22" t="s">
        <v>409</v>
      </c>
      <c r="C388" s="22"/>
      <c r="D388" s="23" t="s">
        <v>410</v>
      </c>
      <c r="E388" s="24" t="s">
        <v>411</v>
      </c>
      <c r="F388" s="24"/>
      <c r="G388" s="24"/>
      <c r="H388" s="24"/>
      <c r="I388" s="24" t="s">
        <v>25</v>
      </c>
      <c r="J388" s="12">
        <f>5.623 * IF(K388 = 980, 1, IF(K388 = 840,IF($L$3&gt;0,$L$3,1),IF(K388=982,IF($N$3&gt;0,$N$3,1))))</f>
        <v>5.6230000000000002</v>
      </c>
      <c r="K388" s="13">
        <v>840</v>
      </c>
      <c r="L388" s="14">
        <f>7.03 * IF(M388 = 980, 1, IF(M388 = 840,IF($L$3&gt;0,$L$3,1),IF(M388=982,IF($N$3&gt;0,$N$3,1))))</f>
        <v>7.03</v>
      </c>
      <c r="M388" s="13">
        <v>840</v>
      </c>
    </row>
    <row r="389" spans="1:13" s="1" customFormat="1" ht="48" customHeight="1" x14ac:dyDescent="0.2">
      <c r="A389" s="21"/>
      <c r="B389" s="22"/>
      <c r="C389" s="22"/>
      <c r="D389" s="23"/>
      <c r="E389" s="24"/>
      <c r="F389" s="24"/>
      <c r="G389" s="24"/>
      <c r="H389" s="24"/>
      <c r="I389" s="24"/>
      <c r="J389" s="15" t="str">
        <f xml:space="preserve"> IF(K388 = 980, K389,IF(K388 = 840,IF($L$3&gt;0,"грн",K389),IF(K388=982,IF($N$3&gt;0,"грн",K389))))</f>
        <v>USD</v>
      </c>
      <c r="K389" s="16" t="s">
        <v>26</v>
      </c>
      <c r="L389" s="15" t="str">
        <f xml:space="preserve"> IF(M388 = 980, M389,IF(M388 = 840,IF($L$3&gt;0,"грн",M389),IF(M388=982,IF($N$3&gt;0,"грн",M389))))</f>
        <v>USD</v>
      </c>
      <c r="M389" s="16" t="s">
        <v>26</v>
      </c>
    </row>
  </sheetData>
  <mergeCells count="1417">
    <mergeCell ref="B2:C2"/>
    <mergeCell ref="A3:A4"/>
    <mergeCell ref="B3:C4"/>
    <mergeCell ref="H3:I3"/>
    <mergeCell ref="L3:L5"/>
    <mergeCell ref="N3:N5"/>
    <mergeCell ref="H4:I4"/>
    <mergeCell ref="B5:D5"/>
    <mergeCell ref="H5:I5"/>
    <mergeCell ref="B6:D6"/>
    <mergeCell ref="H6:I6"/>
    <mergeCell ref="B8:C8"/>
    <mergeCell ref="A12:A13"/>
    <mergeCell ref="B12:C13"/>
    <mergeCell ref="D12:D13"/>
    <mergeCell ref="E12:E13"/>
    <mergeCell ref="F12:F13"/>
    <mergeCell ref="G12:G13"/>
    <mergeCell ref="H12:H13"/>
    <mergeCell ref="I12:I13"/>
    <mergeCell ref="A14:A15"/>
    <mergeCell ref="B14:C15"/>
    <mergeCell ref="D14:D15"/>
    <mergeCell ref="E14:E15"/>
    <mergeCell ref="F14:F15"/>
    <mergeCell ref="G14:G15"/>
    <mergeCell ref="H14:H15"/>
    <mergeCell ref="I14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A18:A19"/>
    <mergeCell ref="B18:C19"/>
    <mergeCell ref="D18:D19"/>
    <mergeCell ref="E18:E19"/>
    <mergeCell ref="F18:F19"/>
    <mergeCell ref="G18:G19"/>
    <mergeCell ref="H18:H19"/>
    <mergeCell ref="I18:I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A22:A23"/>
    <mergeCell ref="B22:C23"/>
    <mergeCell ref="D22:D23"/>
    <mergeCell ref="E22:E23"/>
    <mergeCell ref="F22:F23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6:A27"/>
    <mergeCell ref="B26:C27"/>
    <mergeCell ref="D26:D27"/>
    <mergeCell ref="E26:E27"/>
    <mergeCell ref="F26:F27"/>
    <mergeCell ref="G26:G27"/>
    <mergeCell ref="H26:H27"/>
    <mergeCell ref="I26:I27"/>
    <mergeCell ref="A28:A29"/>
    <mergeCell ref="B28:C29"/>
    <mergeCell ref="D28:D29"/>
    <mergeCell ref="E28:E29"/>
    <mergeCell ref="F28:F29"/>
    <mergeCell ref="G28:G29"/>
    <mergeCell ref="H28:H29"/>
    <mergeCell ref="I28:I29"/>
    <mergeCell ref="A30:A31"/>
    <mergeCell ref="B30:C31"/>
    <mergeCell ref="D30:D31"/>
    <mergeCell ref="E30:E31"/>
    <mergeCell ref="F30:F31"/>
    <mergeCell ref="G30:G31"/>
    <mergeCell ref="H30:H31"/>
    <mergeCell ref="I30:I31"/>
    <mergeCell ref="A32:A33"/>
    <mergeCell ref="B32:C33"/>
    <mergeCell ref="D32:D33"/>
    <mergeCell ref="E32:E33"/>
    <mergeCell ref="F32:F33"/>
    <mergeCell ref="G32:G33"/>
    <mergeCell ref="H32:H33"/>
    <mergeCell ref="I32:I33"/>
    <mergeCell ref="A34:A35"/>
    <mergeCell ref="B34:C35"/>
    <mergeCell ref="D34:D35"/>
    <mergeCell ref="E34:E35"/>
    <mergeCell ref="F34:F35"/>
    <mergeCell ref="G34:G35"/>
    <mergeCell ref="H34:H35"/>
    <mergeCell ref="I34:I35"/>
    <mergeCell ref="A36:A37"/>
    <mergeCell ref="B36:C37"/>
    <mergeCell ref="D36:D37"/>
    <mergeCell ref="E36:E37"/>
    <mergeCell ref="F36:F37"/>
    <mergeCell ref="G36:G37"/>
    <mergeCell ref="H36:H37"/>
    <mergeCell ref="I36:I37"/>
    <mergeCell ref="A39:A40"/>
    <mergeCell ref="B39:C40"/>
    <mergeCell ref="D39:D40"/>
    <mergeCell ref="E39:E40"/>
    <mergeCell ref="F39:F40"/>
    <mergeCell ref="G39:G40"/>
    <mergeCell ref="H39:H40"/>
    <mergeCell ref="I39:I40"/>
    <mergeCell ref="A41:A42"/>
    <mergeCell ref="B41:C42"/>
    <mergeCell ref="D41:D42"/>
    <mergeCell ref="E41:E42"/>
    <mergeCell ref="F41:F42"/>
    <mergeCell ref="G41:G42"/>
    <mergeCell ref="H41:H42"/>
    <mergeCell ref="I41:I42"/>
    <mergeCell ref="A43:A44"/>
    <mergeCell ref="B43:C44"/>
    <mergeCell ref="D43:D44"/>
    <mergeCell ref="E43:E44"/>
    <mergeCell ref="F43:F44"/>
    <mergeCell ref="G43:G44"/>
    <mergeCell ref="H43:H44"/>
    <mergeCell ref="I43:I44"/>
    <mergeCell ref="A45:A46"/>
    <mergeCell ref="B45:C46"/>
    <mergeCell ref="D45:D46"/>
    <mergeCell ref="E45:E46"/>
    <mergeCell ref="F45:F46"/>
    <mergeCell ref="G45:G46"/>
    <mergeCell ref="H45:H46"/>
    <mergeCell ref="I45:I46"/>
    <mergeCell ref="A47:A48"/>
    <mergeCell ref="B47:C48"/>
    <mergeCell ref="D47:D48"/>
    <mergeCell ref="E47:E48"/>
    <mergeCell ref="F47:F48"/>
    <mergeCell ref="G47:G48"/>
    <mergeCell ref="H47:H48"/>
    <mergeCell ref="I47:I48"/>
    <mergeCell ref="A50:A51"/>
    <mergeCell ref="B50:C51"/>
    <mergeCell ref="D50:D51"/>
    <mergeCell ref="E50:E51"/>
    <mergeCell ref="F50:F51"/>
    <mergeCell ref="G50:G51"/>
    <mergeCell ref="H50:H51"/>
    <mergeCell ref="I50:I51"/>
    <mergeCell ref="A52:A53"/>
    <mergeCell ref="B52:C53"/>
    <mergeCell ref="D52:D53"/>
    <mergeCell ref="E52:E53"/>
    <mergeCell ref="F52:F53"/>
    <mergeCell ref="G52:G53"/>
    <mergeCell ref="H52:H53"/>
    <mergeCell ref="I52:I53"/>
    <mergeCell ref="A54:A55"/>
    <mergeCell ref="B54:C55"/>
    <mergeCell ref="D54:D55"/>
    <mergeCell ref="E54:E55"/>
    <mergeCell ref="F54:F55"/>
    <mergeCell ref="G54:G55"/>
    <mergeCell ref="H54:H55"/>
    <mergeCell ref="I54:I55"/>
    <mergeCell ref="A56:A57"/>
    <mergeCell ref="B56:C57"/>
    <mergeCell ref="D56:D57"/>
    <mergeCell ref="E56:E57"/>
    <mergeCell ref="F56:F57"/>
    <mergeCell ref="G56:G57"/>
    <mergeCell ref="H56:H57"/>
    <mergeCell ref="I56:I57"/>
    <mergeCell ref="A58:A59"/>
    <mergeCell ref="B58:C59"/>
    <mergeCell ref="D58:D59"/>
    <mergeCell ref="E58:E59"/>
    <mergeCell ref="F58:F59"/>
    <mergeCell ref="G58:G59"/>
    <mergeCell ref="H58:H59"/>
    <mergeCell ref="I58:I59"/>
    <mergeCell ref="A60:A61"/>
    <mergeCell ref="B60:C61"/>
    <mergeCell ref="D60:D61"/>
    <mergeCell ref="E60:E61"/>
    <mergeCell ref="F60:F61"/>
    <mergeCell ref="G60:G61"/>
    <mergeCell ref="H60:H61"/>
    <mergeCell ref="I60:I61"/>
    <mergeCell ref="A62:A63"/>
    <mergeCell ref="B62:C63"/>
    <mergeCell ref="D62:D63"/>
    <mergeCell ref="E62:E63"/>
    <mergeCell ref="F62:F63"/>
    <mergeCell ref="G62:G63"/>
    <mergeCell ref="H62:H63"/>
    <mergeCell ref="I62:I63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66:A67"/>
    <mergeCell ref="B66:C67"/>
    <mergeCell ref="D66:D67"/>
    <mergeCell ref="E66:E67"/>
    <mergeCell ref="F66:F67"/>
    <mergeCell ref="G66:G67"/>
    <mergeCell ref="H66:H67"/>
    <mergeCell ref="I66:I67"/>
    <mergeCell ref="A69:A70"/>
    <mergeCell ref="B69:C70"/>
    <mergeCell ref="D69:D70"/>
    <mergeCell ref="E69:E70"/>
    <mergeCell ref="F69:F70"/>
    <mergeCell ref="G69:G70"/>
    <mergeCell ref="H69:H70"/>
    <mergeCell ref="I69:I70"/>
    <mergeCell ref="A71:A72"/>
    <mergeCell ref="B71:C72"/>
    <mergeCell ref="D71:D72"/>
    <mergeCell ref="E71:E72"/>
    <mergeCell ref="F71:F72"/>
    <mergeCell ref="G71:G72"/>
    <mergeCell ref="H71:H72"/>
    <mergeCell ref="I71:I72"/>
    <mergeCell ref="A73:A74"/>
    <mergeCell ref="B73:C74"/>
    <mergeCell ref="D73:D74"/>
    <mergeCell ref="E73:E74"/>
    <mergeCell ref="F73:F74"/>
    <mergeCell ref="G73:G74"/>
    <mergeCell ref="H73:H74"/>
    <mergeCell ref="I73:I74"/>
    <mergeCell ref="A75:A76"/>
    <mergeCell ref="B75:C76"/>
    <mergeCell ref="D75:D76"/>
    <mergeCell ref="E75:E76"/>
    <mergeCell ref="F75:F76"/>
    <mergeCell ref="G75:G76"/>
    <mergeCell ref="H75:H76"/>
    <mergeCell ref="I75:I76"/>
    <mergeCell ref="A77:A78"/>
    <mergeCell ref="B77:C78"/>
    <mergeCell ref="D77:D78"/>
    <mergeCell ref="E77:E78"/>
    <mergeCell ref="F77:F78"/>
    <mergeCell ref="G77:G78"/>
    <mergeCell ref="H77:H78"/>
    <mergeCell ref="I77:I78"/>
    <mergeCell ref="A79:A80"/>
    <mergeCell ref="B79:C80"/>
    <mergeCell ref="D79:D80"/>
    <mergeCell ref="E79:E80"/>
    <mergeCell ref="F79:F80"/>
    <mergeCell ref="G79:G80"/>
    <mergeCell ref="H79:H80"/>
    <mergeCell ref="I79:I80"/>
    <mergeCell ref="A81:A82"/>
    <mergeCell ref="B81:C82"/>
    <mergeCell ref="D81:D82"/>
    <mergeCell ref="E81:E82"/>
    <mergeCell ref="F81:F82"/>
    <mergeCell ref="G81:G82"/>
    <mergeCell ref="H81:H82"/>
    <mergeCell ref="I81:I82"/>
    <mergeCell ref="A83:A84"/>
    <mergeCell ref="B83:C84"/>
    <mergeCell ref="D83:D84"/>
    <mergeCell ref="E83:E84"/>
    <mergeCell ref="F83:F84"/>
    <mergeCell ref="G83:G84"/>
    <mergeCell ref="H83:H84"/>
    <mergeCell ref="I83:I84"/>
    <mergeCell ref="A85:A86"/>
    <mergeCell ref="B85:C86"/>
    <mergeCell ref="D85:D86"/>
    <mergeCell ref="E85:E86"/>
    <mergeCell ref="F85:F86"/>
    <mergeCell ref="G85:G86"/>
    <mergeCell ref="H85:H86"/>
    <mergeCell ref="I85:I86"/>
    <mergeCell ref="A88:A89"/>
    <mergeCell ref="B88:C89"/>
    <mergeCell ref="D88:D89"/>
    <mergeCell ref="E88:E89"/>
    <mergeCell ref="F88:F89"/>
    <mergeCell ref="G88:G89"/>
    <mergeCell ref="H88:H89"/>
    <mergeCell ref="I88:I89"/>
    <mergeCell ref="A90:A91"/>
    <mergeCell ref="B90:C91"/>
    <mergeCell ref="D90:D91"/>
    <mergeCell ref="E90:E91"/>
    <mergeCell ref="F90:F91"/>
    <mergeCell ref="G90:G91"/>
    <mergeCell ref="H90:H91"/>
    <mergeCell ref="I90:I91"/>
    <mergeCell ref="A92:A93"/>
    <mergeCell ref="B92:C93"/>
    <mergeCell ref="D92:D93"/>
    <mergeCell ref="E92:E93"/>
    <mergeCell ref="F92:F93"/>
    <mergeCell ref="G92:G93"/>
    <mergeCell ref="H92:H93"/>
    <mergeCell ref="I92:I93"/>
    <mergeCell ref="A95:A96"/>
    <mergeCell ref="B95:C96"/>
    <mergeCell ref="D95:D96"/>
    <mergeCell ref="E95:E96"/>
    <mergeCell ref="F95:F96"/>
    <mergeCell ref="G95:G96"/>
    <mergeCell ref="H95:H96"/>
    <mergeCell ref="I95:I96"/>
    <mergeCell ref="A97:A98"/>
    <mergeCell ref="B97:C98"/>
    <mergeCell ref="D97:D98"/>
    <mergeCell ref="E97:E98"/>
    <mergeCell ref="F97:F98"/>
    <mergeCell ref="G97:G98"/>
    <mergeCell ref="H97:H98"/>
    <mergeCell ref="I97:I98"/>
    <mergeCell ref="A99:A100"/>
    <mergeCell ref="B99:C100"/>
    <mergeCell ref="D99:D100"/>
    <mergeCell ref="E99:E100"/>
    <mergeCell ref="F99:F100"/>
    <mergeCell ref="G99:G100"/>
    <mergeCell ref="H99:H100"/>
    <mergeCell ref="I99:I100"/>
    <mergeCell ref="A101:A102"/>
    <mergeCell ref="B101:C102"/>
    <mergeCell ref="D101:D102"/>
    <mergeCell ref="E101:E102"/>
    <mergeCell ref="F101:F102"/>
    <mergeCell ref="G101:G102"/>
    <mergeCell ref="H101:H102"/>
    <mergeCell ref="I101:I102"/>
    <mergeCell ref="A104:A105"/>
    <mergeCell ref="B104:C105"/>
    <mergeCell ref="D104:D105"/>
    <mergeCell ref="E104:E105"/>
    <mergeCell ref="F104:F105"/>
    <mergeCell ref="G104:G105"/>
    <mergeCell ref="H104:H105"/>
    <mergeCell ref="I104:I105"/>
    <mergeCell ref="A106:A107"/>
    <mergeCell ref="B106:C107"/>
    <mergeCell ref="D106:D107"/>
    <mergeCell ref="E106:E107"/>
    <mergeCell ref="F106:F107"/>
    <mergeCell ref="G106:G107"/>
    <mergeCell ref="H106:H107"/>
    <mergeCell ref="I106:I107"/>
    <mergeCell ref="A108:A109"/>
    <mergeCell ref="B108:C109"/>
    <mergeCell ref="D108:D109"/>
    <mergeCell ref="E108:E109"/>
    <mergeCell ref="F108:F109"/>
    <mergeCell ref="G108:G109"/>
    <mergeCell ref="H108:H109"/>
    <mergeCell ref="I108:I109"/>
    <mergeCell ref="A110:A111"/>
    <mergeCell ref="B110:C111"/>
    <mergeCell ref="D110:D111"/>
    <mergeCell ref="E110:E111"/>
    <mergeCell ref="F110:F111"/>
    <mergeCell ref="G110:G111"/>
    <mergeCell ref="H110:H111"/>
    <mergeCell ref="I110:I111"/>
    <mergeCell ref="A112:A113"/>
    <mergeCell ref="B112:C113"/>
    <mergeCell ref="D112:D113"/>
    <mergeCell ref="E112:E113"/>
    <mergeCell ref="F112:F113"/>
    <mergeCell ref="G112:G113"/>
    <mergeCell ref="H112:H113"/>
    <mergeCell ref="I112:I113"/>
    <mergeCell ref="A114:A115"/>
    <mergeCell ref="B114:C115"/>
    <mergeCell ref="D114:D115"/>
    <mergeCell ref="E114:E115"/>
    <mergeCell ref="F114:F115"/>
    <mergeCell ref="G114:G115"/>
    <mergeCell ref="H114:H115"/>
    <mergeCell ref="I114:I115"/>
    <mergeCell ref="A116:A117"/>
    <mergeCell ref="B116:C117"/>
    <mergeCell ref="D116:D117"/>
    <mergeCell ref="E116:E117"/>
    <mergeCell ref="F116:F117"/>
    <mergeCell ref="G116:G117"/>
    <mergeCell ref="H116:H117"/>
    <mergeCell ref="I116:I117"/>
    <mergeCell ref="A118:A119"/>
    <mergeCell ref="B118:C119"/>
    <mergeCell ref="D118:D119"/>
    <mergeCell ref="E118:E119"/>
    <mergeCell ref="F118:F119"/>
    <mergeCell ref="G118:G119"/>
    <mergeCell ref="H118:H119"/>
    <mergeCell ref="I118:I119"/>
    <mergeCell ref="A121:A122"/>
    <mergeCell ref="B121:C122"/>
    <mergeCell ref="D121:D122"/>
    <mergeCell ref="E121:E122"/>
    <mergeCell ref="F121:F122"/>
    <mergeCell ref="G121:G122"/>
    <mergeCell ref="H121:H122"/>
    <mergeCell ref="I121:I122"/>
    <mergeCell ref="A123:A124"/>
    <mergeCell ref="B123:C124"/>
    <mergeCell ref="D123:D124"/>
    <mergeCell ref="E123:E124"/>
    <mergeCell ref="F123:F124"/>
    <mergeCell ref="G123:G124"/>
    <mergeCell ref="H123:H124"/>
    <mergeCell ref="I123:I124"/>
    <mergeCell ref="A125:A126"/>
    <mergeCell ref="B125:C126"/>
    <mergeCell ref="D125:D126"/>
    <mergeCell ref="E125:E126"/>
    <mergeCell ref="F125:F126"/>
    <mergeCell ref="G125:G126"/>
    <mergeCell ref="H125:H126"/>
    <mergeCell ref="I125:I126"/>
    <mergeCell ref="A127:A128"/>
    <mergeCell ref="B127:C128"/>
    <mergeCell ref="D127:D128"/>
    <mergeCell ref="E127:E128"/>
    <mergeCell ref="F127:F128"/>
    <mergeCell ref="G127:G128"/>
    <mergeCell ref="H127:H128"/>
    <mergeCell ref="I127:I128"/>
    <mergeCell ref="A130:A131"/>
    <mergeCell ref="B130:C131"/>
    <mergeCell ref="D130:D131"/>
    <mergeCell ref="E130:E131"/>
    <mergeCell ref="F130:F131"/>
    <mergeCell ref="G130:G131"/>
    <mergeCell ref="H130:H131"/>
    <mergeCell ref="I130:I131"/>
    <mergeCell ref="A132:A133"/>
    <mergeCell ref="B132:C133"/>
    <mergeCell ref="D132:D133"/>
    <mergeCell ref="E132:E133"/>
    <mergeCell ref="F132:F133"/>
    <mergeCell ref="G132:G133"/>
    <mergeCell ref="H132:H133"/>
    <mergeCell ref="I132:I133"/>
    <mergeCell ref="A134:A135"/>
    <mergeCell ref="B134:C135"/>
    <mergeCell ref="D134:D135"/>
    <mergeCell ref="E134:E135"/>
    <mergeCell ref="F134:F135"/>
    <mergeCell ref="G134:G135"/>
    <mergeCell ref="H134:H135"/>
    <mergeCell ref="I134:I135"/>
    <mergeCell ref="A136:A137"/>
    <mergeCell ref="B136:C137"/>
    <mergeCell ref="D136:D137"/>
    <mergeCell ref="E136:E137"/>
    <mergeCell ref="F136:F137"/>
    <mergeCell ref="G136:G137"/>
    <mergeCell ref="H136:H137"/>
    <mergeCell ref="I136:I137"/>
    <mergeCell ref="A138:A139"/>
    <mergeCell ref="B138:C139"/>
    <mergeCell ref="D138:D139"/>
    <mergeCell ref="E138:E139"/>
    <mergeCell ref="F138:F139"/>
    <mergeCell ref="G138:G139"/>
    <mergeCell ref="H138:H139"/>
    <mergeCell ref="I138:I139"/>
    <mergeCell ref="A140:A141"/>
    <mergeCell ref="B140:C141"/>
    <mergeCell ref="D140:D141"/>
    <mergeCell ref="E140:E141"/>
    <mergeCell ref="F140:F141"/>
    <mergeCell ref="G140:G141"/>
    <mergeCell ref="H140:H141"/>
    <mergeCell ref="I140:I141"/>
    <mergeCell ref="A143:A144"/>
    <mergeCell ref="B143:C144"/>
    <mergeCell ref="D143:D144"/>
    <mergeCell ref="E143:E144"/>
    <mergeCell ref="F143:F144"/>
    <mergeCell ref="G143:G144"/>
    <mergeCell ref="H143:H144"/>
    <mergeCell ref="I143:I144"/>
    <mergeCell ref="A145:A146"/>
    <mergeCell ref="B145:C146"/>
    <mergeCell ref="D145:D146"/>
    <mergeCell ref="E145:E146"/>
    <mergeCell ref="F145:F146"/>
    <mergeCell ref="G145:G146"/>
    <mergeCell ref="H145:H146"/>
    <mergeCell ref="I145:I146"/>
    <mergeCell ref="A147:A148"/>
    <mergeCell ref="B147:C148"/>
    <mergeCell ref="D147:D148"/>
    <mergeCell ref="E147:E148"/>
    <mergeCell ref="F147:F148"/>
    <mergeCell ref="G147:G148"/>
    <mergeCell ref="H147:H148"/>
    <mergeCell ref="I147:I148"/>
    <mergeCell ref="A150:A151"/>
    <mergeCell ref="B150:C151"/>
    <mergeCell ref="D150:D151"/>
    <mergeCell ref="E150:E151"/>
    <mergeCell ref="F150:F151"/>
    <mergeCell ref="G150:G151"/>
    <mergeCell ref="H150:H151"/>
    <mergeCell ref="I150:I151"/>
    <mergeCell ref="A152:A153"/>
    <mergeCell ref="B152:C153"/>
    <mergeCell ref="D152:D153"/>
    <mergeCell ref="E152:E153"/>
    <mergeCell ref="F152:F153"/>
    <mergeCell ref="G152:G153"/>
    <mergeCell ref="H152:H153"/>
    <mergeCell ref="I152:I153"/>
    <mergeCell ref="A156:A157"/>
    <mergeCell ref="B156:C157"/>
    <mergeCell ref="D156:D157"/>
    <mergeCell ref="E156:E157"/>
    <mergeCell ref="F156:F157"/>
    <mergeCell ref="G156:G157"/>
    <mergeCell ref="H156:H157"/>
    <mergeCell ref="I156:I157"/>
    <mergeCell ref="A158:A159"/>
    <mergeCell ref="B158:C159"/>
    <mergeCell ref="D158:D159"/>
    <mergeCell ref="E158:E159"/>
    <mergeCell ref="F158:F159"/>
    <mergeCell ref="G158:G159"/>
    <mergeCell ref="H158:H159"/>
    <mergeCell ref="I158:I159"/>
    <mergeCell ref="A160:A161"/>
    <mergeCell ref="B160:C161"/>
    <mergeCell ref="D160:D161"/>
    <mergeCell ref="E160:E161"/>
    <mergeCell ref="F160:F161"/>
    <mergeCell ref="G160:G161"/>
    <mergeCell ref="H160:H161"/>
    <mergeCell ref="I160:I161"/>
    <mergeCell ref="A162:A163"/>
    <mergeCell ref="B162:C163"/>
    <mergeCell ref="D162:D163"/>
    <mergeCell ref="E162:E163"/>
    <mergeCell ref="F162:F163"/>
    <mergeCell ref="G162:G163"/>
    <mergeCell ref="H162:H163"/>
    <mergeCell ref="I162:I163"/>
    <mergeCell ref="A164:A165"/>
    <mergeCell ref="B164:C165"/>
    <mergeCell ref="D164:D165"/>
    <mergeCell ref="E164:E165"/>
    <mergeCell ref="F164:F165"/>
    <mergeCell ref="G164:G165"/>
    <mergeCell ref="H164:H165"/>
    <mergeCell ref="I164:I165"/>
    <mergeCell ref="A166:A167"/>
    <mergeCell ref="B166:C167"/>
    <mergeCell ref="D166:D167"/>
    <mergeCell ref="E166:E167"/>
    <mergeCell ref="F166:F167"/>
    <mergeCell ref="G166:G167"/>
    <mergeCell ref="H166:H167"/>
    <mergeCell ref="I166:I167"/>
    <mergeCell ref="A168:A169"/>
    <mergeCell ref="B168:C169"/>
    <mergeCell ref="D168:D169"/>
    <mergeCell ref="E168:E169"/>
    <mergeCell ref="F168:F169"/>
    <mergeCell ref="G168:G169"/>
    <mergeCell ref="H168:H169"/>
    <mergeCell ref="I168:I169"/>
    <mergeCell ref="A170:A171"/>
    <mergeCell ref="B170:C171"/>
    <mergeCell ref="D170:D171"/>
    <mergeCell ref="E170:E171"/>
    <mergeCell ref="F170:F171"/>
    <mergeCell ref="G170:G171"/>
    <mergeCell ref="H170:H171"/>
    <mergeCell ref="I170:I171"/>
    <mergeCell ref="A172:A173"/>
    <mergeCell ref="B172:C173"/>
    <mergeCell ref="D172:D173"/>
    <mergeCell ref="E172:E173"/>
    <mergeCell ref="F172:F173"/>
    <mergeCell ref="G172:G173"/>
    <mergeCell ref="H172:H173"/>
    <mergeCell ref="I172:I173"/>
    <mergeCell ref="A174:A175"/>
    <mergeCell ref="B174:C175"/>
    <mergeCell ref="D174:D175"/>
    <mergeCell ref="E174:E175"/>
    <mergeCell ref="F174:F175"/>
    <mergeCell ref="G174:G175"/>
    <mergeCell ref="H174:H175"/>
    <mergeCell ref="I174:I175"/>
    <mergeCell ref="A177:A178"/>
    <mergeCell ref="B177:C178"/>
    <mergeCell ref="D177:D178"/>
    <mergeCell ref="E177:E178"/>
    <mergeCell ref="F177:F178"/>
    <mergeCell ref="G177:G178"/>
    <mergeCell ref="H177:H178"/>
    <mergeCell ref="I177:I178"/>
    <mergeCell ref="A179:A180"/>
    <mergeCell ref="B179:C180"/>
    <mergeCell ref="D179:D180"/>
    <mergeCell ref="E179:E180"/>
    <mergeCell ref="F179:F180"/>
    <mergeCell ref="G179:G180"/>
    <mergeCell ref="H179:H180"/>
    <mergeCell ref="I179:I180"/>
    <mergeCell ref="A181:A182"/>
    <mergeCell ref="B181:C182"/>
    <mergeCell ref="D181:D182"/>
    <mergeCell ref="E181:E182"/>
    <mergeCell ref="F181:F182"/>
    <mergeCell ref="G181:G182"/>
    <mergeCell ref="H181:H182"/>
    <mergeCell ref="I181:I182"/>
    <mergeCell ref="A183:A184"/>
    <mergeCell ref="B183:C184"/>
    <mergeCell ref="D183:D184"/>
    <mergeCell ref="E183:E184"/>
    <mergeCell ref="F183:F184"/>
    <mergeCell ref="G183:G184"/>
    <mergeCell ref="H183:H184"/>
    <mergeCell ref="I183:I184"/>
    <mergeCell ref="A185:A186"/>
    <mergeCell ref="B185:C186"/>
    <mergeCell ref="D185:D186"/>
    <mergeCell ref="E185:E186"/>
    <mergeCell ref="F185:F186"/>
    <mergeCell ref="G185:G186"/>
    <mergeCell ref="H185:H186"/>
    <mergeCell ref="I185:I186"/>
    <mergeCell ref="A187:A188"/>
    <mergeCell ref="B187:C188"/>
    <mergeCell ref="D187:D188"/>
    <mergeCell ref="E187:E188"/>
    <mergeCell ref="F187:F188"/>
    <mergeCell ref="G187:G188"/>
    <mergeCell ref="H187:H188"/>
    <mergeCell ref="I187:I188"/>
    <mergeCell ref="A189:A190"/>
    <mergeCell ref="B189:C190"/>
    <mergeCell ref="D189:D190"/>
    <mergeCell ref="E189:E190"/>
    <mergeCell ref="F189:F190"/>
    <mergeCell ref="G189:G190"/>
    <mergeCell ref="H189:H190"/>
    <mergeCell ref="I189:I190"/>
    <mergeCell ref="A191:A192"/>
    <mergeCell ref="B191:C192"/>
    <mergeCell ref="D191:D192"/>
    <mergeCell ref="E191:E192"/>
    <mergeCell ref="F191:F192"/>
    <mergeCell ref="G191:G192"/>
    <mergeCell ref="H191:H192"/>
    <mergeCell ref="I191:I192"/>
    <mergeCell ref="A194:A195"/>
    <mergeCell ref="B194:C195"/>
    <mergeCell ref="D194:D195"/>
    <mergeCell ref="E194:E195"/>
    <mergeCell ref="F194:F195"/>
    <mergeCell ref="G194:G195"/>
    <mergeCell ref="H194:H195"/>
    <mergeCell ref="I194:I195"/>
    <mergeCell ref="A196:A197"/>
    <mergeCell ref="B196:C197"/>
    <mergeCell ref="D196:D197"/>
    <mergeCell ref="E196:E197"/>
    <mergeCell ref="F196:F197"/>
    <mergeCell ref="G196:G197"/>
    <mergeCell ref="H196:H197"/>
    <mergeCell ref="I196:I197"/>
    <mergeCell ref="A198:A199"/>
    <mergeCell ref="B198:C199"/>
    <mergeCell ref="D198:D199"/>
    <mergeCell ref="E198:E199"/>
    <mergeCell ref="F198:F199"/>
    <mergeCell ref="G198:G199"/>
    <mergeCell ref="H198:H199"/>
    <mergeCell ref="I198:I199"/>
    <mergeCell ref="A200:A201"/>
    <mergeCell ref="B200:C201"/>
    <mergeCell ref="D200:D201"/>
    <mergeCell ref="E200:E201"/>
    <mergeCell ref="F200:F201"/>
    <mergeCell ref="G200:G201"/>
    <mergeCell ref="H200:H201"/>
    <mergeCell ref="I200:I201"/>
    <mergeCell ref="A202:A203"/>
    <mergeCell ref="B202:C203"/>
    <mergeCell ref="D202:D203"/>
    <mergeCell ref="E202:E203"/>
    <mergeCell ref="F202:F203"/>
    <mergeCell ref="G202:G203"/>
    <mergeCell ref="H202:H203"/>
    <mergeCell ref="I202:I203"/>
    <mergeCell ref="A204:A205"/>
    <mergeCell ref="B204:C205"/>
    <mergeCell ref="D204:D205"/>
    <mergeCell ref="E204:E205"/>
    <mergeCell ref="F204:F205"/>
    <mergeCell ref="G204:G205"/>
    <mergeCell ref="H204:H205"/>
    <mergeCell ref="I204:I205"/>
    <mergeCell ref="A206:A207"/>
    <mergeCell ref="B206:C207"/>
    <mergeCell ref="D206:D207"/>
    <mergeCell ref="E206:E207"/>
    <mergeCell ref="F206:F207"/>
    <mergeCell ref="G206:G207"/>
    <mergeCell ref="H206:H207"/>
    <mergeCell ref="I206:I207"/>
    <mergeCell ref="A209:A210"/>
    <mergeCell ref="B209:C210"/>
    <mergeCell ref="D209:D210"/>
    <mergeCell ref="E209:E210"/>
    <mergeCell ref="F209:F210"/>
    <mergeCell ref="G209:G210"/>
    <mergeCell ref="H209:H210"/>
    <mergeCell ref="I209:I210"/>
    <mergeCell ref="A211:A212"/>
    <mergeCell ref="B211:C212"/>
    <mergeCell ref="D211:D212"/>
    <mergeCell ref="E211:E212"/>
    <mergeCell ref="F211:F212"/>
    <mergeCell ref="G211:G212"/>
    <mergeCell ref="H211:H212"/>
    <mergeCell ref="I211:I212"/>
    <mergeCell ref="A213:A214"/>
    <mergeCell ref="B213:C214"/>
    <mergeCell ref="D213:D214"/>
    <mergeCell ref="E213:E214"/>
    <mergeCell ref="F213:F214"/>
    <mergeCell ref="G213:G214"/>
    <mergeCell ref="H213:H214"/>
    <mergeCell ref="I213:I214"/>
    <mergeCell ref="A215:A216"/>
    <mergeCell ref="B215:C216"/>
    <mergeCell ref="D215:D216"/>
    <mergeCell ref="E215:E216"/>
    <mergeCell ref="F215:F216"/>
    <mergeCell ref="G215:G216"/>
    <mergeCell ref="H215:H216"/>
    <mergeCell ref="I215:I216"/>
    <mergeCell ref="A217:A218"/>
    <mergeCell ref="B217:C218"/>
    <mergeCell ref="D217:D218"/>
    <mergeCell ref="E217:E218"/>
    <mergeCell ref="F217:F218"/>
    <mergeCell ref="G217:G218"/>
    <mergeCell ref="H217:H218"/>
    <mergeCell ref="I217:I218"/>
    <mergeCell ref="A219:A220"/>
    <mergeCell ref="B219:C220"/>
    <mergeCell ref="D219:D220"/>
    <mergeCell ref="E219:E220"/>
    <mergeCell ref="F219:F220"/>
    <mergeCell ref="G219:G220"/>
    <mergeCell ref="H219:H220"/>
    <mergeCell ref="I219:I220"/>
    <mergeCell ref="A222:A223"/>
    <mergeCell ref="B222:C223"/>
    <mergeCell ref="D222:D223"/>
    <mergeCell ref="E222:E223"/>
    <mergeCell ref="F222:F223"/>
    <mergeCell ref="G222:G223"/>
    <mergeCell ref="H222:H223"/>
    <mergeCell ref="I222:I223"/>
    <mergeCell ref="A224:A225"/>
    <mergeCell ref="B224:C225"/>
    <mergeCell ref="D224:D225"/>
    <mergeCell ref="E224:E225"/>
    <mergeCell ref="F224:F225"/>
    <mergeCell ref="G224:G225"/>
    <mergeCell ref="H224:H225"/>
    <mergeCell ref="I224:I225"/>
    <mergeCell ref="A226:A227"/>
    <mergeCell ref="B226:C227"/>
    <mergeCell ref="D226:D227"/>
    <mergeCell ref="E226:E227"/>
    <mergeCell ref="F226:F227"/>
    <mergeCell ref="G226:G227"/>
    <mergeCell ref="H226:H227"/>
    <mergeCell ref="I226:I227"/>
    <mergeCell ref="A228:A229"/>
    <mergeCell ref="B228:C229"/>
    <mergeCell ref="D228:D229"/>
    <mergeCell ref="E228:E229"/>
    <mergeCell ref="F228:F229"/>
    <mergeCell ref="G228:G229"/>
    <mergeCell ref="H228:H229"/>
    <mergeCell ref="I228:I229"/>
    <mergeCell ref="A230:A231"/>
    <mergeCell ref="B230:C231"/>
    <mergeCell ref="D230:D231"/>
    <mergeCell ref="E230:E231"/>
    <mergeCell ref="F230:F231"/>
    <mergeCell ref="G230:G231"/>
    <mergeCell ref="H230:H231"/>
    <mergeCell ref="I230:I231"/>
    <mergeCell ref="A232:A233"/>
    <mergeCell ref="B232:C233"/>
    <mergeCell ref="D232:D233"/>
    <mergeCell ref="E232:E233"/>
    <mergeCell ref="F232:F233"/>
    <mergeCell ref="G232:G233"/>
    <mergeCell ref="H232:H233"/>
    <mergeCell ref="I232:I233"/>
    <mergeCell ref="A234:A235"/>
    <mergeCell ref="B234:C235"/>
    <mergeCell ref="D234:D235"/>
    <mergeCell ref="E234:E235"/>
    <mergeCell ref="F234:F235"/>
    <mergeCell ref="G234:G235"/>
    <mergeCell ref="H234:H235"/>
    <mergeCell ref="I234:I235"/>
    <mergeCell ref="A236:A237"/>
    <mergeCell ref="B236:C237"/>
    <mergeCell ref="D236:D237"/>
    <mergeCell ref="E236:E237"/>
    <mergeCell ref="F236:F237"/>
    <mergeCell ref="G236:G237"/>
    <mergeCell ref="H236:H237"/>
    <mergeCell ref="I236:I237"/>
    <mergeCell ref="A238:A239"/>
    <mergeCell ref="B238:C239"/>
    <mergeCell ref="D238:D239"/>
    <mergeCell ref="E238:E239"/>
    <mergeCell ref="F238:F239"/>
    <mergeCell ref="G238:G239"/>
    <mergeCell ref="H238:H239"/>
    <mergeCell ref="I238:I239"/>
    <mergeCell ref="A240:A241"/>
    <mergeCell ref="B240:C241"/>
    <mergeCell ref="D240:D241"/>
    <mergeCell ref="E240:E241"/>
    <mergeCell ref="F240:F241"/>
    <mergeCell ref="G240:G241"/>
    <mergeCell ref="H240:H241"/>
    <mergeCell ref="I240:I241"/>
    <mergeCell ref="A242:A243"/>
    <mergeCell ref="B242:C243"/>
    <mergeCell ref="D242:D243"/>
    <mergeCell ref="E242:E243"/>
    <mergeCell ref="F242:F243"/>
    <mergeCell ref="G242:G243"/>
    <mergeCell ref="H242:H243"/>
    <mergeCell ref="I242:I243"/>
    <mergeCell ref="A245:A246"/>
    <mergeCell ref="B245:C246"/>
    <mergeCell ref="D245:D246"/>
    <mergeCell ref="E245:E246"/>
    <mergeCell ref="F245:F246"/>
    <mergeCell ref="G245:G246"/>
    <mergeCell ref="H245:H246"/>
    <mergeCell ref="I245:I246"/>
    <mergeCell ref="A247:A248"/>
    <mergeCell ref="B247:C248"/>
    <mergeCell ref="D247:D248"/>
    <mergeCell ref="E247:E248"/>
    <mergeCell ref="F247:F248"/>
    <mergeCell ref="G247:G248"/>
    <mergeCell ref="H247:H248"/>
    <mergeCell ref="I247:I248"/>
    <mergeCell ref="A249:A250"/>
    <mergeCell ref="B249:C250"/>
    <mergeCell ref="D249:D250"/>
    <mergeCell ref="E249:E250"/>
    <mergeCell ref="F249:F250"/>
    <mergeCell ref="G249:G250"/>
    <mergeCell ref="H249:H250"/>
    <mergeCell ref="I249:I250"/>
    <mergeCell ref="A251:A252"/>
    <mergeCell ref="B251:C252"/>
    <mergeCell ref="D251:D252"/>
    <mergeCell ref="E251:E252"/>
    <mergeCell ref="F251:F252"/>
    <mergeCell ref="G251:G252"/>
    <mergeCell ref="H251:H252"/>
    <mergeCell ref="I251:I252"/>
    <mergeCell ref="A253:A254"/>
    <mergeCell ref="B253:C254"/>
    <mergeCell ref="D253:D254"/>
    <mergeCell ref="E253:E254"/>
    <mergeCell ref="F253:F254"/>
    <mergeCell ref="G253:G254"/>
    <mergeCell ref="H253:H254"/>
    <mergeCell ref="I253:I254"/>
    <mergeCell ref="A255:A256"/>
    <mergeCell ref="B255:C256"/>
    <mergeCell ref="D255:D256"/>
    <mergeCell ref="E255:E256"/>
    <mergeCell ref="F255:F256"/>
    <mergeCell ref="G255:G256"/>
    <mergeCell ref="H255:H256"/>
    <mergeCell ref="I255:I256"/>
    <mergeCell ref="A257:A258"/>
    <mergeCell ref="B257:C258"/>
    <mergeCell ref="D257:D258"/>
    <mergeCell ref="E257:E258"/>
    <mergeCell ref="F257:F258"/>
    <mergeCell ref="G257:G258"/>
    <mergeCell ref="H257:H258"/>
    <mergeCell ref="I257:I258"/>
    <mergeCell ref="A259:A260"/>
    <mergeCell ref="B259:C260"/>
    <mergeCell ref="D259:D260"/>
    <mergeCell ref="E259:E260"/>
    <mergeCell ref="F259:F260"/>
    <mergeCell ref="G259:G260"/>
    <mergeCell ref="H259:H260"/>
    <mergeCell ref="I259:I260"/>
    <mergeCell ref="A262:A263"/>
    <mergeCell ref="B262:C263"/>
    <mergeCell ref="D262:D263"/>
    <mergeCell ref="E262:E263"/>
    <mergeCell ref="F262:F263"/>
    <mergeCell ref="G262:G263"/>
    <mergeCell ref="H262:H263"/>
    <mergeCell ref="I262:I263"/>
    <mergeCell ref="A264:A265"/>
    <mergeCell ref="B264:C265"/>
    <mergeCell ref="D264:D265"/>
    <mergeCell ref="E264:E265"/>
    <mergeCell ref="F264:F265"/>
    <mergeCell ref="G264:G265"/>
    <mergeCell ref="H264:H265"/>
    <mergeCell ref="I264:I265"/>
    <mergeCell ref="A266:A267"/>
    <mergeCell ref="B266:C267"/>
    <mergeCell ref="D266:D267"/>
    <mergeCell ref="E266:E267"/>
    <mergeCell ref="F266:F267"/>
    <mergeCell ref="G266:G267"/>
    <mergeCell ref="H266:H267"/>
    <mergeCell ref="I266:I267"/>
    <mergeCell ref="A268:A269"/>
    <mergeCell ref="B268:C269"/>
    <mergeCell ref="D268:D269"/>
    <mergeCell ref="E268:E269"/>
    <mergeCell ref="F268:F269"/>
    <mergeCell ref="G268:G269"/>
    <mergeCell ref="H268:H269"/>
    <mergeCell ref="I268:I269"/>
    <mergeCell ref="A270:A271"/>
    <mergeCell ref="B270:C271"/>
    <mergeCell ref="D270:D271"/>
    <mergeCell ref="E270:E271"/>
    <mergeCell ref="F270:F271"/>
    <mergeCell ref="G270:G271"/>
    <mergeCell ref="H270:H271"/>
    <mergeCell ref="I270:I271"/>
    <mergeCell ref="A272:A273"/>
    <mergeCell ref="B272:C273"/>
    <mergeCell ref="D272:D273"/>
    <mergeCell ref="E272:E273"/>
    <mergeCell ref="F272:F273"/>
    <mergeCell ref="G272:G273"/>
    <mergeCell ref="H272:H273"/>
    <mergeCell ref="I272:I273"/>
    <mergeCell ref="A274:A275"/>
    <mergeCell ref="B274:C275"/>
    <mergeCell ref="D274:D275"/>
    <mergeCell ref="E274:E275"/>
    <mergeCell ref="F274:F275"/>
    <mergeCell ref="G274:G275"/>
    <mergeCell ref="H274:H275"/>
    <mergeCell ref="I274:I275"/>
    <mergeCell ref="A276:A277"/>
    <mergeCell ref="B276:C277"/>
    <mergeCell ref="D276:D277"/>
    <mergeCell ref="E276:E277"/>
    <mergeCell ref="F276:F277"/>
    <mergeCell ref="G276:G277"/>
    <mergeCell ref="H276:H277"/>
    <mergeCell ref="I276:I277"/>
    <mergeCell ref="A279:A280"/>
    <mergeCell ref="B279:C280"/>
    <mergeCell ref="D279:D280"/>
    <mergeCell ref="E279:E280"/>
    <mergeCell ref="F279:F280"/>
    <mergeCell ref="G279:G280"/>
    <mergeCell ref="H279:H280"/>
    <mergeCell ref="I279:I280"/>
    <mergeCell ref="A281:A282"/>
    <mergeCell ref="B281:C282"/>
    <mergeCell ref="D281:D282"/>
    <mergeCell ref="E281:E282"/>
    <mergeCell ref="F281:F282"/>
    <mergeCell ref="G281:G282"/>
    <mergeCell ref="H281:H282"/>
    <mergeCell ref="I281:I282"/>
    <mergeCell ref="A284:A285"/>
    <mergeCell ref="B284:C285"/>
    <mergeCell ref="D284:D285"/>
    <mergeCell ref="E284:E285"/>
    <mergeCell ref="F284:F285"/>
    <mergeCell ref="G284:G285"/>
    <mergeCell ref="H284:H285"/>
    <mergeCell ref="I284:I285"/>
    <mergeCell ref="A286:A287"/>
    <mergeCell ref="B286:C287"/>
    <mergeCell ref="D286:D287"/>
    <mergeCell ref="E286:E287"/>
    <mergeCell ref="F286:F287"/>
    <mergeCell ref="G286:G287"/>
    <mergeCell ref="H286:H287"/>
    <mergeCell ref="I286:I287"/>
    <mergeCell ref="A288:A289"/>
    <mergeCell ref="B288:C289"/>
    <mergeCell ref="D288:D289"/>
    <mergeCell ref="E288:E289"/>
    <mergeCell ref="F288:F289"/>
    <mergeCell ref="G288:G289"/>
    <mergeCell ref="H288:H289"/>
    <mergeCell ref="I288:I289"/>
    <mergeCell ref="A290:A291"/>
    <mergeCell ref="B290:C291"/>
    <mergeCell ref="D290:D291"/>
    <mergeCell ref="E290:E291"/>
    <mergeCell ref="F290:F291"/>
    <mergeCell ref="G290:G291"/>
    <mergeCell ref="H290:H291"/>
    <mergeCell ref="I290:I291"/>
    <mergeCell ref="A293:A294"/>
    <mergeCell ref="B293:C294"/>
    <mergeCell ref="D293:D294"/>
    <mergeCell ref="E293:E294"/>
    <mergeCell ref="F293:F294"/>
    <mergeCell ref="G293:G294"/>
    <mergeCell ref="H293:H294"/>
    <mergeCell ref="I293:I294"/>
    <mergeCell ref="A295:A296"/>
    <mergeCell ref="B295:C296"/>
    <mergeCell ref="D295:D296"/>
    <mergeCell ref="E295:E296"/>
    <mergeCell ref="F295:F296"/>
    <mergeCell ref="G295:G296"/>
    <mergeCell ref="H295:H296"/>
    <mergeCell ref="I295:I296"/>
    <mergeCell ref="A297:A298"/>
    <mergeCell ref="B297:C298"/>
    <mergeCell ref="D297:D298"/>
    <mergeCell ref="E297:E298"/>
    <mergeCell ref="F297:F298"/>
    <mergeCell ref="G297:G298"/>
    <mergeCell ref="H297:H298"/>
    <mergeCell ref="I297:I298"/>
    <mergeCell ref="A299:A300"/>
    <mergeCell ref="B299:C300"/>
    <mergeCell ref="D299:D300"/>
    <mergeCell ref="E299:E300"/>
    <mergeCell ref="F299:F300"/>
    <mergeCell ref="G299:G300"/>
    <mergeCell ref="H299:H300"/>
    <mergeCell ref="I299:I300"/>
    <mergeCell ref="A301:A302"/>
    <mergeCell ref="B301:C302"/>
    <mergeCell ref="D301:D302"/>
    <mergeCell ref="E301:E302"/>
    <mergeCell ref="F301:F302"/>
    <mergeCell ref="G301:G302"/>
    <mergeCell ref="H301:H302"/>
    <mergeCell ref="I301:I302"/>
    <mergeCell ref="A304:A305"/>
    <mergeCell ref="B304:C305"/>
    <mergeCell ref="D304:D305"/>
    <mergeCell ref="E304:E305"/>
    <mergeCell ref="F304:F305"/>
    <mergeCell ref="G304:G305"/>
    <mergeCell ref="H304:H305"/>
    <mergeCell ref="I304:I305"/>
    <mergeCell ref="A306:A307"/>
    <mergeCell ref="B306:C307"/>
    <mergeCell ref="D306:D307"/>
    <mergeCell ref="E306:E307"/>
    <mergeCell ref="F306:F307"/>
    <mergeCell ref="G306:G307"/>
    <mergeCell ref="H306:H307"/>
    <mergeCell ref="I306:I307"/>
    <mergeCell ref="A308:A309"/>
    <mergeCell ref="B308:C309"/>
    <mergeCell ref="D308:D309"/>
    <mergeCell ref="E308:E309"/>
    <mergeCell ref="F308:F309"/>
    <mergeCell ref="G308:G309"/>
    <mergeCell ref="H308:H309"/>
    <mergeCell ref="I308:I309"/>
    <mergeCell ref="A311:A312"/>
    <mergeCell ref="B311:C312"/>
    <mergeCell ref="D311:D312"/>
    <mergeCell ref="E311:E312"/>
    <mergeCell ref="F311:F312"/>
    <mergeCell ref="G311:G312"/>
    <mergeCell ref="H311:H312"/>
    <mergeCell ref="I311:I312"/>
    <mergeCell ref="A313:A314"/>
    <mergeCell ref="B313:C314"/>
    <mergeCell ref="D313:D314"/>
    <mergeCell ref="E313:E314"/>
    <mergeCell ref="F313:F314"/>
    <mergeCell ref="G313:G314"/>
    <mergeCell ref="H313:H314"/>
    <mergeCell ref="I313:I314"/>
    <mergeCell ref="A315:A316"/>
    <mergeCell ref="B315:C316"/>
    <mergeCell ref="D315:D316"/>
    <mergeCell ref="E315:E316"/>
    <mergeCell ref="F315:F316"/>
    <mergeCell ref="G315:G316"/>
    <mergeCell ref="H315:H316"/>
    <mergeCell ref="I315:I316"/>
    <mergeCell ref="A317:A318"/>
    <mergeCell ref="B317:C318"/>
    <mergeCell ref="D317:D318"/>
    <mergeCell ref="E317:E318"/>
    <mergeCell ref="F317:F318"/>
    <mergeCell ref="G317:G318"/>
    <mergeCell ref="H317:H318"/>
    <mergeCell ref="I317:I318"/>
    <mergeCell ref="A319:A320"/>
    <mergeCell ref="B319:C320"/>
    <mergeCell ref="D319:D320"/>
    <mergeCell ref="E319:E320"/>
    <mergeCell ref="F319:F320"/>
    <mergeCell ref="G319:G320"/>
    <mergeCell ref="H319:H320"/>
    <mergeCell ref="I319:I320"/>
    <mergeCell ref="A321:A322"/>
    <mergeCell ref="B321:C322"/>
    <mergeCell ref="D321:D322"/>
    <mergeCell ref="E321:E322"/>
    <mergeCell ref="F321:F322"/>
    <mergeCell ref="G321:G322"/>
    <mergeCell ref="H321:H322"/>
    <mergeCell ref="I321:I322"/>
    <mergeCell ref="A323:A324"/>
    <mergeCell ref="B323:C324"/>
    <mergeCell ref="D323:D324"/>
    <mergeCell ref="E323:E324"/>
    <mergeCell ref="F323:F324"/>
    <mergeCell ref="G323:G324"/>
    <mergeCell ref="H323:H324"/>
    <mergeCell ref="I323:I324"/>
    <mergeCell ref="A325:A326"/>
    <mergeCell ref="B325:B326"/>
    <mergeCell ref="C325:C326"/>
    <mergeCell ref="D325:D326"/>
    <mergeCell ref="E325:E326"/>
    <mergeCell ref="F325:F326"/>
    <mergeCell ref="G325:G326"/>
    <mergeCell ref="H325:H326"/>
    <mergeCell ref="I325:I326"/>
    <mergeCell ref="A327:A328"/>
    <mergeCell ref="B327:C328"/>
    <mergeCell ref="D327:D328"/>
    <mergeCell ref="E327:E328"/>
    <mergeCell ref="F327:F328"/>
    <mergeCell ref="G327:G328"/>
    <mergeCell ref="H327:H328"/>
    <mergeCell ref="I327:I328"/>
    <mergeCell ref="A329:A330"/>
    <mergeCell ref="B329:C330"/>
    <mergeCell ref="D329:D330"/>
    <mergeCell ref="E329:E330"/>
    <mergeCell ref="F329:F330"/>
    <mergeCell ref="G329:G330"/>
    <mergeCell ref="H329:H330"/>
    <mergeCell ref="I329:I330"/>
    <mergeCell ref="A331:A332"/>
    <mergeCell ref="B331:C332"/>
    <mergeCell ref="D331:D332"/>
    <mergeCell ref="E331:E332"/>
    <mergeCell ref="F331:F332"/>
    <mergeCell ref="G331:G332"/>
    <mergeCell ref="H331:H332"/>
    <mergeCell ref="I331:I332"/>
    <mergeCell ref="A333:A334"/>
    <mergeCell ref="B333:C334"/>
    <mergeCell ref="D333:D334"/>
    <mergeCell ref="E333:E334"/>
    <mergeCell ref="F333:F334"/>
    <mergeCell ref="G333:G334"/>
    <mergeCell ref="H333:H334"/>
    <mergeCell ref="I333:I334"/>
    <mergeCell ref="A335:A336"/>
    <mergeCell ref="B335:C336"/>
    <mergeCell ref="D335:D336"/>
    <mergeCell ref="E335:E336"/>
    <mergeCell ref="F335:F336"/>
    <mergeCell ref="G335:G336"/>
    <mergeCell ref="H335:H336"/>
    <mergeCell ref="I335:I336"/>
    <mergeCell ref="A337:A338"/>
    <mergeCell ref="B337:C338"/>
    <mergeCell ref="D337:D338"/>
    <mergeCell ref="E337:E338"/>
    <mergeCell ref="F337:F338"/>
    <mergeCell ref="G337:G338"/>
    <mergeCell ref="H337:H338"/>
    <mergeCell ref="I337:I338"/>
    <mergeCell ref="A339:A340"/>
    <mergeCell ref="B339:C340"/>
    <mergeCell ref="D339:D340"/>
    <mergeCell ref="E339:E340"/>
    <mergeCell ref="F339:F340"/>
    <mergeCell ref="G339:G340"/>
    <mergeCell ref="H339:H340"/>
    <mergeCell ref="I339:I340"/>
    <mergeCell ref="A341:A342"/>
    <mergeCell ref="B341:C342"/>
    <mergeCell ref="D341:D342"/>
    <mergeCell ref="E341:E342"/>
    <mergeCell ref="F341:F342"/>
    <mergeCell ref="G341:G342"/>
    <mergeCell ref="H341:H342"/>
    <mergeCell ref="I341:I342"/>
    <mergeCell ref="A343:A344"/>
    <mergeCell ref="B343:C344"/>
    <mergeCell ref="D343:D344"/>
    <mergeCell ref="E343:E344"/>
    <mergeCell ref="F343:F344"/>
    <mergeCell ref="G343:G344"/>
    <mergeCell ref="H343:H344"/>
    <mergeCell ref="I343:I344"/>
    <mergeCell ref="A346:A347"/>
    <mergeCell ref="B346:C347"/>
    <mergeCell ref="D346:D347"/>
    <mergeCell ref="E346:E347"/>
    <mergeCell ref="F346:F347"/>
    <mergeCell ref="G346:G347"/>
    <mergeCell ref="H346:H347"/>
    <mergeCell ref="I346:I347"/>
    <mergeCell ref="A348:A349"/>
    <mergeCell ref="B348:C349"/>
    <mergeCell ref="D348:D349"/>
    <mergeCell ref="E348:E349"/>
    <mergeCell ref="F348:F349"/>
    <mergeCell ref="G348:G349"/>
    <mergeCell ref="H348:H349"/>
    <mergeCell ref="I348:I349"/>
    <mergeCell ref="A350:A351"/>
    <mergeCell ref="B350:C351"/>
    <mergeCell ref="D350:D351"/>
    <mergeCell ref="E350:E351"/>
    <mergeCell ref="F350:F351"/>
    <mergeCell ref="G350:G351"/>
    <mergeCell ref="H350:H351"/>
    <mergeCell ref="I350:I351"/>
    <mergeCell ref="A352:A353"/>
    <mergeCell ref="B352:C353"/>
    <mergeCell ref="D352:D353"/>
    <mergeCell ref="E352:E353"/>
    <mergeCell ref="F352:F353"/>
    <mergeCell ref="G352:G353"/>
    <mergeCell ref="H352:H353"/>
    <mergeCell ref="I352:I353"/>
    <mergeCell ref="A354:A355"/>
    <mergeCell ref="B354:C355"/>
    <mergeCell ref="D354:D355"/>
    <mergeCell ref="E354:E355"/>
    <mergeCell ref="F354:F355"/>
    <mergeCell ref="G354:G355"/>
    <mergeCell ref="H354:H355"/>
    <mergeCell ref="I354:I355"/>
    <mergeCell ref="A356:A357"/>
    <mergeCell ref="B356:C357"/>
    <mergeCell ref="D356:D357"/>
    <mergeCell ref="E356:E357"/>
    <mergeCell ref="F356:F357"/>
    <mergeCell ref="G356:G357"/>
    <mergeCell ref="H356:H357"/>
    <mergeCell ref="I356:I357"/>
    <mergeCell ref="A360:A361"/>
    <mergeCell ref="B360:C361"/>
    <mergeCell ref="D360:D361"/>
    <mergeCell ref="E360:E361"/>
    <mergeCell ref="F360:F361"/>
    <mergeCell ref="G360:G361"/>
    <mergeCell ref="H360:H361"/>
    <mergeCell ref="I360:I361"/>
    <mergeCell ref="A362:A363"/>
    <mergeCell ref="B362:C363"/>
    <mergeCell ref="D362:D363"/>
    <mergeCell ref="E362:E363"/>
    <mergeCell ref="F362:F363"/>
    <mergeCell ref="G362:G363"/>
    <mergeCell ref="H362:H363"/>
    <mergeCell ref="I362:I363"/>
    <mergeCell ref="A364:A365"/>
    <mergeCell ref="B364:C365"/>
    <mergeCell ref="D364:D365"/>
    <mergeCell ref="E364:E365"/>
    <mergeCell ref="F364:F365"/>
    <mergeCell ref="G364:G365"/>
    <mergeCell ref="H364:H365"/>
    <mergeCell ref="I364:I365"/>
    <mergeCell ref="A366:A367"/>
    <mergeCell ref="B366:C367"/>
    <mergeCell ref="D366:D367"/>
    <mergeCell ref="E366:E367"/>
    <mergeCell ref="F366:F367"/>
    <mergeCell ref="G366:G367"/>
    <mergeCell ref="H366:H367"/>
    <mergeCell ref="I366:I367"/>
    <mergeCell ref="A368:A369"/>
    <mergeCell ref="B368:C369"/>
    <mergeCell ref="D368:D369"/>
    <mergeCell ref="E368:E369"/>
    <mergeCell ref="F368:F369"/>
    <mergeCell ref="G368:G369"/>
    <mergeCell ref="H368:H369"/>
    <mergeCell ref="I368:I369"/>
    <mergeCell ref="A370:A371"/>
    <mergeCell ref="B370:C371"/>
    <mergeCell ref="D370:D371"/>
    <mergeCell ref="E370:E371"/>
    <mergeCell ref="F370:F371"/>
    <mergeCell ref="G370:G371"/>
    <mergeCell ref="H370:H371"/>
    <mergeCell ref="I370:I371"/>
    <mergeCell ref="A383:A384"/>
    <mergeCell ref="B383:C384"/>
    <mergeCell ref="D383:D384"/>
    <mergeCell ref="E383:E384"/>
    <mergeCell ref="F383:F384"/>
    <mergeCell ref="G383:G384"/>
    <mergeCell ref="H383:H384"/>
    <mergeCell ref="I383:I384"/>
    <mergeCell ref="A373:A374"/>
    <mergeCell ref="B373:C374"/>
    <mergeCell ref="D373:D374"/>
    <mergeCell ref="E373:E374"/>
    <mergeCell ref="F373:F374"/>
    <mergeCell ref="G373:G374"/>
    <mergeCell ref="H373:H374"/>
    <mergeCell ref="I373:I374"/>
    <mergeCell ref="A375:A376"/>
    <mergeCell ref="B375:C376"/>
    <mergeCell ref="D375:D376"/>
    <mergeCell ref="E375:E376"/>
    <mergeCell ref="F375:F376"/>
    <mergeCell ref="G375:G376"/>
    <mergeCell ref="H375:H376"/>
    <mergeCell ref="I375:I376"/>
    <mergeCell ref="A377:A378"/>
    <mergeCell ref="B377:C378"/>
    <mergeCell ref="D377:D378"/>
    <mergeCell ref="E377:E378"/>
    <mergeCell ref="F377:F378"/>
    <mergeCell ref="G377:G378"/>
    <mergeCell ref="H377:H378"/>
    <mergeCell ref="I377:I378"/>
    <mergeCell ref="A385:A386"/>
    <mergeCell ref="B385:C386"/>
    <mergeCell ref="D385:D386"/>
    <mergeCell ref="E385:E386"/>
    <mergeCell ref="F385:F386"/>
    <mergeCell ref="G385:G386"/>
    <mergeCell ref="H385:H386"/>
    <mergeCell ref="I385:I386"/>
    <mergeCell ref="A388:A389"/>
    <mergeCell ref="B388:C389"/>
    <mergeCell ref="D388:D389"/>
    <mergeCell ref="E388:E389"/>
    <mergeCell ref="F388:F389"/>
    <mergeCell ref="G388:G389"/>
    <mergeCell ref="H388:H389"/>
    <mergeCell ref="I388:I389"/>
    <mergeCell ref="A379:A380"/>
    <mergeCell ref="B379:C380"/>
    <mergeCell ref="D379:D380"/>
    <mergeCell ref="E379:E380"/>
    <mergeCell ref="F379:F380"/>
    <mergeCell ref="G379:G380"/>
    <mergeCell ref="H379:H380"/>
    <mergeCell ref="I379:I380"/>
    <mergeCell ref="A381:A382"/>
    <mergeCell ref="B381:C382"/>
    <mergeCell ref="D381:D382"/>
    <mergeCell ref="E381:E382"/>
    <mergeCell ref="F381:F382"/>
    <mergeCell ref="G381:G382"/>
    <mergeCell ref="H381:H382"/>
    <mergeCell ref="I381:I382"/>
  </mergeCells>
  <hyperlinks>
    <hyperlink ref="B6" r:id="rId1"/>
  </hyperlinks>
  <pageMargins left="0.25" right="0.25" top="0.75" bottom="0.75" header="0.30000000000000004" footer="0.30000000000000004"/>
  <pageSetup paperSize="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Елена</cp:lastModifiedBy>
  <dcterms:modified xsi:type="dcterms:W3CDTF">2018-03-01T12:10:24Z</dcterms:modified>
</cp:coreProperties>
</file>